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miller\AppData\Local\AxiomTemp\j3ybcysz.jlr\"/>
    </mc:Choice>
  </mc:AlternateContent>
  <xr:revisionPtr revIDLastSave="0" documentId="8_{8F2F61C7-4C68-4873-8D12-13DD14DE80F0}" xr6:coauthVersionLast="45" xr6:coauthVersionMax="45" xr10:uidLastSave="{00000000-0000-0000-0000-000000000000}"/>
  <bookViews>
    <workbookView xWindow="-108" yWindow="-108" windowWidth="23256" windowHeight="12576" firstSheet="1" activeTab="6" xr2:uid="{00000000-000D-0000-FFFF-FFFF00000000}"/>
  </bookViews>
  <sheets>
    <sheet name="Control_FileProcessing" sheetId="2" state="hidden" r:id="rId1"/>
    <sheet name="Control_Sheet" sheetId="8" r:id="rId2"/>
    <sheet name="Variables" sheetId="7" state="hidden" r:id="rId3"/>
    <sheet name="Instructions" sheetId="3" state="hidden" r:id="rId4"/>
    <sheet name="Forecast_Methods" sheetId="4" state="hidden" r:id="rId5"/>
    <sheet name="CYFDriver" sheetId="5" state="hidden" r:id="rId6"/>
    <sheet name="Mthly_Fcst_Utility" sheetId="6" r:id="rId7"/>
  </sheets>
  <definedNames>
    <definedName name="_xlnm._FilterDatabase" localSheetId="5" hidden="1">CYFDriver!$D$1:$D$68</definedName>
    <definedName name="_xlnm._FilterDatabase" localSheetId="6" hidden="1">Mthly_Fcst_Utility!$D$32:$Z$93</definedName>
    <definedName name="_xlnm.Print_Area" localSheetId="5">CYFDriver!$C$9:$R$69</definedName>
    <definedName name="_xlnm.Print_Area" localSheetId="4">Forecast_Methods!$B$2:$K$33</definedName>
    <definedName name="_xlnm.Print_Area" localSheetId="6">Mthly_Fcst_Utility!$G$43:$Y$94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5" l="1"/>
  <c r="H37" i="5"/>
  <c r="I37" i="5" s="1"/>
  <c r="J37" i="5" s="1"/>
  <c r="K37" i="5" s="1"/>
  <c r="L37" i="5" s="1"/>
  <c r="M37" i="5" s="1"/>
  <c r="N37" i="5" s="1"/>
  <c r="O37" i="5" s="1"/>
  <c r="P37" i="5" s="1"/>
  <c r="Q37" i="5" s="1"/>
  <c r="L5" i="6" l="1"/>
  <c r="L7" i="6" s="1"/>
  <c r="L9" i="6" s="1"/>
  <c r="L11" i="6" s="1"/>
  <c r="L13" i="6" s="1"/>
  <c r="K5" i="6"/>
  <c r="K7" i="6" s="1"/>
  <c r="K9" i="6" s="1"/>
  <c r="K11" i="6" s="1"/>
  <c r="K13" i="6" s="1"/>
  <c r="I5" i="6"/>
  <c r="I7" i="6" s="1"/>
  <c r="I9" i="6" s="1"/>
  <c r="I11" i="6" s="1"/>
  <c r="I13" i="6" s="1"/>
  <c r="H5" i="6"/>
  <c r="H7" i="6" l="1"/>
  <c r="H9" i="6" s="1"/>
  <c r="H11" i="6" s="1"/>
  <c r="H13" i="6" s="1"/>
  <c r="AL6" i="6"/>
  <c r="AL4" i="6"/>
  <c r="G48" i="6" l="1"/>
  <c r="H48" i="6"/>
  <c r="G5" i="6"/>
  <c r="G7" i="6" s="1"/>
  <c r="G9" i="6" s="1"/>
  <c r="G11" i="6" s="1"/>
  <c r="G13" i="6" s="1"/>
  <c r="Z14" i="6"/>
  <c r="Z12" i="6"/>
  <c r="Z10" i="6"/>
  <c r="Z8" i="6"/>
  <c r="Z6" i="6"/>
  <c r="Z4" i="6"/>
  <c r="AG12" i="6" l="1"/>
  <c r="AG14" i="6" l="1"/>
  <c r="CU23" i="6" l="1"/>
  <c r="A28" i="5" l="1"/>
  <c r="A29" i="5"/>
  <c r="A17" i="5"/>
  <c r="J13" i="5" s="1"/>
  <c r="A16" i="5"/>
  <c r="H13" i="5" s="1"/>
  <c r="A15" i="5"/>
  <c r="F13" i="5" s="1"/>
  <c r="D29" i="5"/>
  <c r="D28" i="5"/>
  <c r="AG8" i="6" l="1"/>
  <c r="AF8" i="6"/>
  <c r="AE8" i="6"/>
  <c r="AD8" i="6"/>
  <c r="Y8" i="6"/>
  <c r="M8" i="6"/>
  <c r="BU37" i="6"/>
  <c r="BT37" i="6"/>
  <c r="BS37" i="6"/>
  <c r="BR37" i="6"/>
  <c r="BQ37" i="6"/>
  <c r="BP37" i="6"/>
  <c r="BO37" i="6"/>
  <c r="BN37" i="6"/>
  <c r="BM37" i="6"/>
  <c r="BL37" i="6"/>
  <c r="BK37" i="6"/>
  <c r="BJ37" i="6"/>
  <c r="BI37" i="6"/>
  <c r="BH37" i="6"/>
  <c r="BG37" i="6"/>
  <c r="BF37" i="6"/>
  <c r="BE37" i="6"/>
  <c r="BD37" i="6"/>
  <c r="BC37" i="6"/>
  <c r="BB37" i="6"/>
  <c r="BA37" i="6"/>
  <c r="AZ37" i="6"/>
  <c r="AY37" i="6"/>
  <c r="AX37" i="6"/>
  <c r="AW37" i="6"/>
  <c r="AV37" i="6"/>
  <c r="AU37" i="6"/>
  <c r="AT37" i="6"/>
  <c r="AS37" i="6"/>
  <c r="AR37" i="6"/>
  <c r="AP37" i="6"/>
  <c r="AO37" i="6"/>
  <c r="AN37" i="6"/>
  <c r="AE37" i="6" l="1"/>
  <c r="AD37" i="6"/>
  <c r="AQ37" i="6"/>
  <c r="M37" i="6"/>
  <c r="AG37" i="6"/>
  <c r="AG10" i="6" a="1"/>
  <c r="AG10" i="6" s="1"/>
  <c r="AF10" i="6" a="1"/>
  <c r="AF10" i="6" s="1"/>
  <c r="AE10" i="6" a="1"/>
  <c r="AE10" i="6" s="1"/>
  <c r="AD10" i="6" a="1"/>
  <c r="AD10" i="6" s="1"/>
  <c r="AK10" i="6"/>
  <c r="M10" i="6"/>
  <c r="AF37" i="6" l="1"/>
  <c r="AF12" i="6"/>
  <c r="AE12" i="6"/>
  <c r="AD12" i="6"/>
  <c r="M14" i="6"/>
  <c r="AF14" i="6"/>
  <c r="AE14" i="6"/>
  <c r="AD14" i="6"/>
  <c r="AJ6" i="6" l="1"/>
  <c r="AI6" i="6"/>
  <c r="AH6" i="6"/>
  <c r="M4" i="6" l="1"/>
  <c r="AH4" i="6" l="1"/>
  <c r="AI4" i="6"/>
  <c r="AJ4" i="6"/>
  <c r="G17" i="5"/>
  <c r="H17" i="5" s="1"/>
  <c r="I17" i="5" s="1"/>
  <c r="J17" i="5" s="1"/>
  <c r="K17" i="5" s="1"/>
  <c r="L17" i="5" s="1"/>
  <c r="M17" i="5" s="1"/>
  <c r="N17" i="5" s="1"/>
  <c r="O17" i="5" s="1"/>
  <c r="P17" i="5" s="1"/>
  <c r="Q17" i="5" s="1"/>
  <c r="G16" i="5"/>
  <c r="H16" i="5" s="1"/>
  <c r="I16" i="5" s="1"/>
  <c r="J16" i="5" s="1"/>
  <c r="K16" i="5" s="1"/>
  <c r="L16" i="5" s="1"/>
  <c r="M16" i="5" s="1"/>
  <c r="N16" i="5" s="1"/>
  <c r="O16" i="5" s="1"/>
  <c r="P16" i="5" s="1"/>
  <c r="Q16" i="5" s="1"/>
  <c r="G15" i="5"/>
  <c r="H15" i="5" s="1"/>
  <c r="I15" i="5" s="1"/>
  <c r="J15" i="5" s="1"/>
  <c r="K15" i="5" s="1"/>
  <c r="L15" i="5" s="1"/>
  <c r="M15" i="5" s="1"/>
  <c r="N15" i="5" l="1"/>
  <c r="O15" i="5" s="1"/>
  <c r="P15" i="5" s="1"/>
  <c r="Q15" i="5" s="1"/>
  <c r="I59" i="6"/>
  <c r="I54" i="6"/>
  <c r="B57" i="6" l="1"/>
  <c r="A57" i="6" s="1"/>
  <c r="B52"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M59" i="6"/>
  <c r="M101" i="6" l="1"/>
  <c r="AW106" i="6"/>
  <c r="AV106" i="6"/>
  <c r="AU106" i="6"/>
  <c r="AT106" i="6"/>
  <c r="AS106" i="6"/>
  <c r="AR106" i="6"/>
  <c r="AQ106" i="6"/>
  <c r="AP106" i="6"/>
  <c r="AO106" i="6"/>
  <c r="AN106" i="6"/>
  <c r="AW101" i="6"/>
  <c r="AV101" i="6"/>
  <c r="AU101" i="6"/>
  <c r="AT101" i="6"/>
  <c r="AS101" i="6"/>
  <c r="AR101" i="6"/>
  <c r="AQ101" i="6"/>
  <c r="AP101" i="6"/>
  <c r="AO101" i="6"/>
  <c r="AN101" i="6"/>
  <c r="AW93" i="6"/>
  <c r="AV93" i="6"/>
  <c r="AU93" i="6"/>
  <c r="AT93" i="6"/>
  <c r="AS93" i="6"/>
  <c r="AR93" i="6"/>
  <c r="AP93" i="6"/>
  <c r="AO93" i="6"/>
  <c r="AN93" i="6"/>
  <c r="M12" i="6"/>
  <c r="DF49" i="6" a="1"/>
  <c r="DF49" i="6" s="1"/>
  <c r="DE49" i="6" a="1"/>
  <c r="DE49" i="6" s="1"/>
  <c r="DD49" i="6" a="1"/>
  <c r="DD49" i="6" s="1"/>
  <c r="DC49" i="6" a="1"/>
  <c r="DC49" i="6" s="1"/>
  <c r="DB49" i="6" a="1"/>
  <c r="DB49" i="6" s="1"/>
  <c r="DA49" i="6" a="1"/>
  <c r="DA49" i="6" s="1"/>
  <c r="CZ49" i="6" a="1"/>
  <c r="CZ49" i="6" s="1"/>
  <c r="CY49" i="6" a="1"/>
  <c r="CY49" i="6" s="1"/>
  <c r="CX49" i="6" a="1"/>
  <c r="CX49" i="6" s="1"/>
  <c r="CW49" i="6" a="1"/>
  <c r="CW49" i="6" s="1"/>
  <c r="CV49" i="6" a="1"/>
  <c r="CV49" i="6" s="1"/>
  <c r="CU49" i="6" a="1"/>
  <c r="CU49" i="6" s="1"/>
  <c r="I74" i="7"/>
  <c r="CJ43" i="6" a="1"/>
  <c r="CG43" i="6" a="1"/>
  <c r="BX43" i="6" a="1"/>
  <c r="W26" i="6" a="1"/>
  <c r="BG43" i="6" a="1"/>
  <c r="AZ43" i="6" a="1"/>
  <c r="CD43" i="6" a="1"/>
  <c r="CF26" i="6" a="1"/>
  <c r="CJ26" i="6" a="1"/>
  <c r="AY43" i="6" a="1"/>
  <c r="M26" i="6" a="1"/>
  <c r="CE43" i="6" a="1"/>
  <c r="R26" i="6" a="1"/>
  <c r="P26" i="6" a="1"/>
  <c r="BW43" i="6" a="1"/>
  <c r="M19" i="6" a="1"/>
  <c r="CK43" i="6" a="1"/>
  <c r="BZ43" i="6" a="1"/>
  <c r="T26" i="6" a="1"/>
  <c r="CM26" i="6" a="1"/>
  <c r="CO26" i="6" a="1"/>
  <c r="CP43" i="6" a="1"/>
  <c r="CH26" i="6" a="1"/>
  <c r="CH43" i="6" a="1"/>
  <c r="CO43" i="6" a="1"/>
  <c r="CK26" i="6" a="1"/>
  <c r="CM43" i="6" a="1"/>
  <c r="CR26" i="6" a="1"/>
  <c r="CP26" i="6" a="1"/>
  <c r="BZ26" i="6" a="1"/>
  <c r="CB26" i="6" a="1"/>
  <c r="V26" i="6" a="1"/>
  <c r="CF43" i="6" a="1"/>
  <c r="CE26" i="6" a="1"/>
  <c r="N26" i="6" a="1"/>
  <c r="CD26" i="6" a="1"/>
  <c r="U26" i="6" a="1"/>
  <c r="CR43" i="6" a="1"/>
  <c r="CQ43" i="6" a="1"/>
  <c r="CS26" i="6" a="1"/>
  <c r="CC43" i="6" a="1"/>
  <c r="BH43" i="6" a="1"/>
  <c r="BX26" i="6" a="1"/>
  <c r="BF43" i="6" a="1"/>
  <c r="BV26" i="6" a="1"/>
  <c r="BA43" i="6" a="1"/>
  <c r="CB43" i="6" a="1"/>
  <c r="CI26" i="6" a="1"/>
  <c r="BY26" i="6" a="1"/>
  <c r="CL43" i="6" a="1"/>
  <c r="BI43" i="6" a="1"/>
  <c r="BC43" i="6" a="1"/>
  <c r="S26" i="6" a="1"/>
  <c r="Q26" i="6" a="1"/>
  <c r="BE43" i="6" a="1"/>
  <c r="BD43" i="6" a="1"/>
  <c r="BY43" i="6" a="1"/>
  <c r="BV43" i="6" a="1"/>
  <c r="CC26" i="6" a="1"/>
  <c r="M48" i="6" a="1"/>
  <c r="O26" i="6" a="1"/>
  <c r="BW26" i="6" a="1"/>
  <c r="CQ26" i="6" a="1"/>
  <c r="AX43" i="6" a="1"/>
  <c r="CN43" i="6" a="1"/>
  <c r="BB43" i="6" a="1"/>
  <c r="CG26" i="6" a="1"/>
  <c r="CN26" i="6" a="1"/>
  <c r="CA43" i="6" a="1"/>
  <c r="CI43" i="6" a="1"/>
  <c r="CA26" i="6" a="1"/>
  <c r="CS43" i="6" a="1"/>
  <c r="CL26" i="6" a="1"/>
  <c r="X26" i="6" a="1"/>
  <c r="AQ93" i="6" l="1"/>
  <c r="N26" i="6"/>
  <c r="R26" i="6"/>
  <c r="V26" i="6"/>
  <c r="BX26" i="6"/>
  <c r="CB26" i="6"/>
  <c r="CF26" i="6"/>
  <c r="CJ26" i="6"/>
  <c r="CN26" i="6"/>
  <c r="CR26" i="6"/>
  <c r="AY43" i="6"/>
  <c r="BC43" i="6"/>
  <c r="BG43" i="6"/>
  <c r="BW43" i="6"/>
  <c r="CA43" i="6"/>
  <c r="CE43" i="6"/>
  <c r="CI43" i="6"/>
  <c r="CM43" i="6"/>
  <c r="CQ43" i="6"/>
  <c r="M48" i="6"/>
  <c r="O26" i="6"/>
  <c r="S26" i="6"/>
  <c r="W26" i="6"/>
  <c r="BY26" i="6"/>
  <c r="CC26" i="6"/>
  <c r="CG26" i="6"/>
  <c r="CK26" i="6"/>
  <c r="CO26" i="6"/>
  <c r="CS26" i="6"/>
  <c r="AZ43" i="6"/>
  <c r="BD43" i="6"/>
  <c r="BH43" i="6"/>
  <c r="BX43" i="6"/>
  <c r="CB43" i="6"/>
  <c r="CF43" i="6"/>
  <c r="CJ43" i="6"/>
  <c r="CN43" i="6"/>
  <c r="CR43" i="6"/>
  <c r="P26" i="6"/>
  <c r="BV26" i="6"/>
  <c r="CD26" i="6"/>
  <c r="CL26" i="6"/>
  <c r="BA43" i="6"/>
  <c r="BE43" i="6"/>
  <c r="BI43" i="6"/>
  <c r="BY43" i="6"/>
  <c r="CC43" i="6"/>
  <c r="CG43" i="6"/>
  <c r="CK43" i="6"/>
  <c r="CO43" i="6"/>
  <c r="CS43" i="6"/>
  <c r="T26" i="6"/>
  <c r="BZ26" i="6"/>
  <c r="CP26" i="6"/>
  <c r="M26" i="6"/>
  <c r="U26" i="6"/>
  <c r="BW26" i="6"/>
  <c r="CE26" i="6"/>
  <c r="CM26" i="6"/>
  <c r="AX43" i="6"/>
  <c r="BV43" i="6"/>
  <c r="X26" i="6"/>
  <c r="CH26" i="6"/>
  <c r="M19" i="6"/>
  <c r="Q26" i="6"/>
  <c r="CA26" i="6"/>
  <c r="CI26" i="6"/>
  <c r="CQ26" i="6"/>
  <c r="BB43" i="6"/>
  <c r="BF43" i="6"/>
  <c r="BZ43" i="6"/>
  <c r="CD43" i="6"/>
  <c r="CH43" i="6"/>
  <c r="CL43" i="6"/>
  <c r="CP43" i="6"/>
  <c r="AA14" i="6" l="1"/>
  <c r="AA12" i="6"/>
  <c r="AA10" i="6"/>
  <c r="AA8" i="6"/>
  <c r="AA6" i="6"/>
  <c r="AA4" i="6"/>
  <c r="AB4" i="6"/>
  <c r="AJ8" i="6"/>
  <c r="AJ10" i="6"/>
  <c r="AJ12" i="6"/>
  <c r="AJ14" i="6"/>
  <c r="AQ14" i="6"/>
  <c r="AQ12" i="6"/>
  <c r="AQ10" i="6"/>
  <c r="AQ8" i="6"/>
  <c r="AQ6" i="6"/>
  <c r="AQ4" i="6"/>
  <c r="AT54" i="6"/>
  <c r="AS54" i="6"/>
  <c r="AR54" i="6"/>
  <c r="AT28" i="6"/>
  <c r="AS28" i="6"/>
  <c r="AR28" i="6"/>
  <c r="AT27" i="6"/>
  <c r="AS27" i="6"/>
  <c r="AR27" i="6"/>
  <c r="AB14" i="6"/>
  <c r="AB12" i="6"/>
  <c r="AB10" i="6"/>
  <c r="AB8" i="6"/>
  <c r="AB6" i="6"/>
  <c r="AU54" i="6"/>
  <c r="AU26" i="6" a="1"/>
  <c r="AU26" i="6" l="1"/>
  <c r="AQ27" i="6"/>
  <c r="AQ28" i="6"/>
  <c r="AQ54" i="6"/>
  <c r="AG26" i="6" l="1"/>
  <c r="AF28" i="6"/>
  <c r="AF27" i="6"/>
  <c r="CG28" i="6" l="1"/>
  <c r="CF28" i="6"/>
  <c r="CE28" i="6"/>
  <c r="CD28" i="6"/>
  <c r="CC28" i="6"/>
  <c r="CB28" i="6"/>
  <c r="CA28" i="6"/>
  <c r="BZ28" i="6"/>
  <c r="BY28" i="6"/>
  <c r="BX28" i="6"/>
  <c r="BW28" i="6"/>
  <c r="BV28" i="6"/>
  <c r="BU28" i="6"/>
  <c r="BT28" i="6"/>
  <c r="BS28" i="6"/>
  <c r="BR28" i="6"/>
  <c r="BQ28" i="6"/>
  <c r="BP28" i="6"/>
  <c r="BO28" i="6"/>
  <c r="BN28" i="6"/>
  <c r="BM28" i="6"/>
  <c r="BL28" i="6"/>
  <c r="BK28" i="6"/>
  <c r="BJ28" i="6"/>
  <c r="BI28" i="6"/>
  <c r="BH28" i="6"/>
  <c r="BG28" i="6"/>
  <c r="BF28" i="6"/>
  <c r="BE28" i="6"/>
  <c r="BD28" i="6"/>
  <c r="BC28" i="6"/>
  <c r="BB28" i="6"/>
  <c r="BA28" i="6"/>
  <c r="AZ28" i="6"/>
  <c r="AY28" i="6"/>
  <c r="AX28"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8" i="6"/>
  <c r="AW27" i="6"/>
  <c r="AP28" i="6"/>
  <c r="AP27" i="6"/>
  <c r="AN28" i="6"/>
  <c r="AN27" i="6"/>
  <c r="AO28" i="6"/>
  <c r="AO27" i="6"/>
  <c r="AV28" i="6"/>
  <c r="AV27" i="6"/>
  <c r="AU28" i="6"/>
  <c r="AU27" i="6"/>
  <c r="CH14" i="6"/>
  <c r="AI14" i="6"/>
  <c r="AH14" i="6"/>
  <c r="AC14" i="6"/>
  <c r="Y14" i="6"/>
  <c r="E14" i="6"/>
  <c r="P418" i="8"/>
  <c r="N418" i="8"/>
  <c r="J418" i="8"/>
  <c r="H418" i="8"/>
  <c r="F418" i="8"/>
  <c r="C412" i="8"/>
  <c r="AW54" i="6"/>
  <c r="AP54" i="6"/>
  <c r="I16" i="7"/>
  <c r="AM45" i="6" l="1"/>
  <c r="I47" i="7"/>
  <c r="J76" i="8" s="1"/>
  <c r="J77" i="8" s="1"/>
  <c r="J78" i="8" s="1"/>
  <c r="AD28" i="6"/>
  <c r="AG28" i="6"/>
  <c r="AE28" i="6"/>
  <c r="AD27" i="6"/>
  <c r="AG27" i="6"/>
  <c r="AE27" i="6"/>
  <c r="CH28" i="6"/>
  <c r="M28" i="6"/>
  <c r="CH27" i="6"/>
  <c r="M27" i="6"/>
  <c r="A52" i="6"/>
  <c r="P350" i="8"/>
  <c r="N350" i="8"/>
  <c r="J350" i="8"/>
  <c r="H350" i="8"/>
  <c r="F350" i="8"/>
  <c r="P282" i="8"/>
  <c r="N282" i="8"/>
  <c r="J282" i="8"/>
  <c r="H282" i="8"/>
  <c r="F282" i="8"/>
  <c r="P214" i="8"/>
  <c r="N214" i="8"/>
  <c r="J214" i="8"/>
  <c r="H214" i="8"/>
  <c r="F214" i="8"/>
  <c r="P146" i="8"/>
  <c r="N146" i="8"/>
  <c r="J146" i="8"/>
  <c r="H146" i="8"/>
  <c r="F146" i="8"/>
  <c r="L145" i="8"/>
  <c r="L213" i="8" s="1"/>
  <c r="P78" i="8"/>
  <c r="N78" i="8"/>
  <c r="L78" i="8"/>
  <c r="H78" i="8"/>
  <c r="F78" i="8"/>
  <c r="P41" i="8"/>
  <c r="N41" i="8"/>
  <c r="L41" i="8"/>
  <c r="J41" i="8"/>
  <c r="H41" i="8"/>
  <c r="F41" i="8"/>
  <c r="C344" i="8"/>
  <c r="C276" i="8"/>
  <c r="C208" i="8"/>
  <c r="C140" i="8"/>
  <c r="C72" i="8"/>
  <c r="AM4" i="6" a="1"/>
  <c r="AM6" i="6" l="1"/>
  <c r="AK6" i="6" s="1"/>
  <c r="AM4" i="6"/>
  <c r="L281" i="8"/>
  <c r="L214" i="8"/>
  <c r="L146" i="8"/>
  <c r="AK69" i="6" l="1"/>
  <c r="L349" i="8"/>
  <c r="L282" i="8"/>
  <c r="R74" i="7"/>
  <c r="I73" i="7"/>
  <c r="I6" i="7"/>
  <c r="M93" i="6"/>
  <c r="I93" i="6"/>
  <c r="B91" i="6"/>
  <c r="A91" i="6" s="1"/>
  <c r="M116" i="6"/>
  <c r="I116" i="6"/>
  <c r="B114" i="6"/>
  <c r="A114" i="6" s="1"/>
  <c r="M111" i="6"/>
  <c r="I111" i="6"/>
  <c r="B109" i="6"/>
  <c r="A109" i="6" s="1"/>
  <c r="M106" i="6"/>
  <c r="I106" i="6"/>
  <c r="B104" i="6"/>
  <c r="A104" i="6" s="1"/>
  <c r="I101" i="6"/>
  <c r="B99" i="6"/>
  <c r="A99" i="6" s="1"/>
  <c r="AK93" i="6"/>
  <c r="M86" i="6"/>
  <c r="I86" i="6"/>
  <c r="B84" i="6"/>
  <c r="A84" i="6" s="1"/>
  <c r="M81" i="6"/>
  <c r="I81" i="6"/>
  <c r="B79" i="6"/>
  <c r="A79" i="6" s="1"/>
  <c r="M76" i="6"/>
  <c r="I76" i="6"/>
  <c r="B74" i="6"/>
  <c r="A74" i="6" s="1"/>
  <c r="M71" i="6"/>
  <c r="I71" i="6"/>
  <c r="B69" i="6"/>
  <c r="A69" i="6" s="1"/>
  <c r="I66" i="6"/>
  <c r="B64" i="6"/>
  <c r="A64" i="6" s="1"/>
  <c r="CG54" i="6"/>
  <c r="CF54" i="6"/>
  <c r="CE54" i="6"/>
  <c r="CD54" i="6"/>
  <c r="CC54" i="6"/>
  <c r="CB54" i="6"/>
  <c r="CA54" i="6"/>
  <c r="BZ54" i="6"/>
  <c r="BY54" i="6"/>
  <c r="BX54" i="6"/>
  <c r="BW54" i="6"/>
  <c r="BV54" i="6"/>
  <c r="BU54" i="6"/>
  <c r="BT54" i="6"/>
  <c r="BS54" i="6"/>
  <c r="BR54" i="6"/>
  <c r="BQ54" i="6"/>
  <c r="BP54" i="6"/>
  <c r="BO54" i="6"/>
  <c r="BN54" i="6"/>
  <c r="BM54" i="6"/>
  <c r="BL54" i="6"/>
  <c r="BK54" i="6"/>
  <c r="BJ54" i="6"/>
  <c r="BI54" i="6"/>
  <c r="BH54" i="6"/>
  <c r="BG54" i="6"/>
  <c r="BF54" i="6"/>
  <c r="BE54" i="6"/>
  <c r="BD54" i="6"/>
  <c r="BC54" i="6"/>
  <c r="BB54" i="6"/>
  <c r="BA54" i="6"/>
  <c r="AZ54" i="6"/>
  <c r="AY54" i="6"/>
  <c r="AX54" i="6"/>
  <c r="AN54" i="6"/>
  <c r="AO54" i="6"/>
  <c r="AV54" i="6"/>
  <c r="CS45" i="6"/>
  <c r="CR45" i="6"/>
  <c r="CQ45" i="6"/>
  <c r="CP45" i="6"/>
  <c r="CO45" i="6"/>
  <c r="CN45" i="6"/>
  <c r="CM45" i="6"/>
  <c r="CL45" i="6"/>
  <c r="CK45" i="6"/>
  <c r="CJ45" i="6"/>
  <c r="CI45" i="6"/>
  <c r="CH45" i="6"/>
  <c r="CG45" i="6"/>
  <c r="CF45" i="6"/>
  <c r="CE45" i="6"/>
  <c r="CD45" i="6"/>
  <c r="CC45" i="6"/>
  <c r="CB45" i="6"/>
  <c r="CA45" i="6"/>
  <c r="BZ45" i="6"/>
  <c r="BY45" i="6"/>
  <c r="BX45" i="6"/>
  <c r="BW45" i="6"/>
  <c r="Y31" i="6"/>
  <c r="X31" i="6"/>
  <c r="W31" i="6"/>
  <c r="V31" i="6"/>
  <c r="U31" i="6"/>
  <c r="T31" i="6"/>
  <c r="S31" i="6"/>
  <c r="R31" i="6"/>
  <c r="Q31" i="6"/>
  <c r="P31" i="6"/>
  <c r="O31" i="6"/>
  <c r="N31" i="6"/>
  <c r="M31" i="6"/>
  <c r="X29" i="6"/>
  <c r="W29" i="6"/>
  <c r="V29" i="6"/>
  <c r="U29" i="6"/>
  <c r="T29" i="6"/>
  <c r="S29" i="6"/>
  <c r="R29" i="6"/>
  <c r="Q29" i="6"/>
  <c r="P29" i="6"/>
  <c r="O29" i="6"/>
  <c r="N29" i="6"/>
  <c r="M29" i="6"/>
  <c r="L29" i="6"/>
  <c r="L24" i="6"/>
  <c r="L23" i="6"/>
  <c r="L22" i="6"/>
  <c r="N18" i="6"/>
  <c r="CH12" i="6"/>
  <c r="AI12" i="6"/>
  <c r="AH12" i="6"/>
  <c r="AC12" i="6"/>
  <c r="Y12" i="6"/>
  <c r="E12" i="6"/>
  <c r="CH10" i="6"/>
  <c r="AI10" i="6"/>
  <c r="AH10" i="6"/>
  <c r="AC10" i="6"/>
  <c r="Y10" i="6"/>
  <c r="E10" i="6"/>
  <c r="CH8" i="6"/>
  <c r="AI8" i="6"/>
  <c r="AH8" i="6"/>
  <c r="AC8" i="6"/>
  <c r="E8" i="6"/>
  <c r="CH6" i="6"/>
  <c r="Y6" i="6"/>
  <c r="M6" i="6"/>
  <c r="E6" i="6"/>
  <c r="CH4" i="6"/>
  <c r="Y4" i="6"/>
  <c r="E4" i="6"/>
  <c r="D33" i="2"/>
  <c r="D23" i="2"/>
  <c r="I37" i="7"/>
  <c r="O26" i="7"/>
  <c r="I32" i="7"/>
  <c r="I31" i="7"/>
  <c r="P24" i="7"/>
  <c r="I34" i="7"/>
  <c r="I19" i="7"/>
  <c r="I15" i="7"/>
  <c r="I30" i="7"/>
  <c r="I38" i="7"/>
  <c r="Q25" i="7"/>
  <c r="Q24" i="7"/>
  <c r="Q26" i="7"/>
  <c r="P25" i="7"/>
  <c r="O25" i="7"/>
  <c r="H38" i="7"/>
  <c r="P26" i="7"/>
  <c r="O24" i="7"/>
  <c r="I35" i="7"/>
  <c r="I33" i="7"/>
  <c r="H37" i="7"/>
  <c r="N48" i="6" a="1"/>
  <c r="F23" i="2"/>
  <c r="J20" i="6" l="1"/>
  <c r="N48" i="6"/>
  <c r="L350" i="8"/>
  <c r="L417" i="8"/>
  <c r="L418" i="8" s="1"/>
  <c r="I69" i="7"/>
  <c r="L11" i="8" s="1"/>
  <c r="L67" i="8"/>
  <c r="W74" i="7"/>
  <c r="L66" i="8"/>
  <c r="BL26" i="6"/>
  <c r="BP26" i="6"/>
  <c r="BT26" i="6"/>
  <c r="F10" i="5"/>
  <c r="BN26" i="6"/>
  <c r="Y26" i="6"/>
  <c r="BJ26" i="6"/>
  <c r="BR26" i="6"/>
  <c r="BM26" i="6"/>
  <c r="BQ26" i="6"/>
  <c r="BU26" i="6"/>
  <c r="I36" i="7"/>
  <c r="J19" i="6"/>
  <c r="BK26" i="6"/>
  <c r="BO26" i="6"/>
  <c r="BS26" i="6"/>
  <c r="I63" i="7"/>
  <c r="I59" i="7"/>
  <c r="I51" i="7"/>
  <c r="I43" i="7"/>
  <c r="I52" i="7"/>
  <c r="I44" i="7"/>
  <c r="I60" i="7"/>
  <c r="I55" i="7"/>
  <c r="I49" i="7"/>
  <c r="I45" i="7"/>
  <c r="K16" i="7"/>
  <c r="I56" i="7"/>
  <c r="I50" i="7"/>
  <c r="I46" i="7"/>
  <c r="J35" i="6" s="1"/>
  <c r="I42" i="7"/>
  <c r="L76" i="8" s="1"/>
  <c r="L144" i="8" s="1"/>
  <c r="L212" i="8" s="1"/>
  <c r="L280" i="8" s="1"/>
  <c r="L348" i="8" s="1"/>
  <c r="L416" i="8" s="1"/>
  <c r="J16" i="7"/>
  <c r="J18" i="6"/>
  <c r="G44" i="6"/>
  <c r="O18" i="6"/>
  <c r="K25" i="6"/>
  <c r="M119" i="6"/>
  <c r="M94" i="6"/>
  <c r="CU22" i="6" a="1"/>
  <c r="G46" i="6" a="1"/>
  <c r="L24" i="7"/>
  <c r="M26" i="7"/>
  <c r="J24" i="7"/>
  <c r="J18" i="7"/>
  <c r="I24" i="7"/>
  <c r="I17" i="7"/>
  <c r="L25" i="7"/>
  <c r="I25" i="7"/>
  <c r="N26" i="7"/>
  <c r="I18" i="7"/>
  <c r="I26" i="7"/>
  <c r="I21" i="7"/>
  <c r="J25" i="7"/>
  <c r="M24" i="7"/>
  <c r="K26" i="7"/>
  <c r="L26" i="7"/>
  <c r="J26" i="7"/>
  <c r="K24" i="7"/>
  <c r="N24" i="7"/>
  <c r="N25" i="7"/>
  <c r="K25" i="7"/>
  <c r="M25" i="7"/>
  <c r="K18" i="7"/>
  <c r="N19" i="6" a="1"/>
  <c r="AP26" i="6" a="1"/>
  <c r="J36" i="6" a="1"/>
  <c r="O19" i="6" a="1"/>
  <c r="E23" i="2"/>
  <c r="CU22" i="6" l="1"/>
  <c r="E32" i="6"/>
  <c r="E33" i="6"/>
  <c r="C27" i="5"/>
  <c r="J34" i="6"/>
  <c r="CX47" i="6"/>
  <c r="CW47" i="6"/>
  <c r="CV47" i="6"/>
  <c r="CU47" i="6"/>
  <c r="U8" i="6"/>
  <c r="R14" i="6"/>
  <c r="U12" i="6"/>
  <c r="X10" i="6" a="1"/>
  <c r="X10" i="6" s="1"/>
  <c r="P10" i="6" a="1"/>
  <c r="P10" i="6" s="1"/>
  <c r="S6" i="6" a="1"/>
  <c r="S6" i="6" s="1"/>
  <c r="V4" i="6"/>
  <c r="N4" i="6"/>
  <c r="Q14" i="6"/>
  <c r="T12" i="6"/>
  <c r="W10" i="6" a="1"/>
  <c r="W10" i="6" s="1"/>
  <c r="O10" i="6" a="1"/>
  <c r="O10" i="6" s="1"/>
  <c r="R6" i="6" a="1"/>
  <c r="R6" i="6" s="1"/>
  <c r="U4" i="6"/>
  <c r="S14" i="6"/>
  <c r="V12" i="6"/>
  <c r="N12" i="6"/>
  <c r="Q10" i="6" a="1"/>
  <c r="Q10" i="6" s="1"/>
  <c r="T6" i="6" a="1"/>
  <c r="T6" i="6" s="1"/>
  <c r="W4" i="6"/>
  <c r="O4" i="6"/>
  <c r="T8" i="6"/>
  <c r="S8" i="6"/>
  <c r="X14" i="6"/>
  <c r="P14" i="6"/>
  <c r="S12" i="6"/>
  <c r="V10" i="6" a="1"/>
  <c r="V10" i="6" s="1"/>
  <c r="N10" i="6" a="1"/>
  <c r="N10" i="6" s="1"/>
  <c r="Q6" i="6" a="1"/>
  <c r="Q6" i="6" s="1"/>
  <c r="T4" i="6"/>
  <c r="R8" i="6"/>
  <c r="W14" i="6"/>
  <c r="O14" i="6"/>
  <c r="R12" i="6"/>
  <c r="U10" i="6" a="1"/>
  <c r="U10" i="6" s="1"/>
  <c r="X6" i="6" a="1"/>
  <c r="X6" i="6" s="1"/>
  <c r="P6" i="6" a="1"/>
  <c r="P6" i="6" s="1"/>
  <c r="S4" i="6"/>
  <c r="W12" i="6"/>
  <c r="X4" i="6"/>
  <c r="N8" i="6"/>
  <c r="Q8" i="6"/>
  <c r="V14" i="6"/>
  <c r="N14" i="6"/>
  <c r="Q12" i="6"/>
  <c r="T10" i="6" a="1"/>
  <c r="T10" i="6" s="1"/>
  <c r="W6" i="6" a="1"/>
  <c r="W6" i="6" s="1"/>
  <c r="O6" i="6" a="1"/>
  <c r="O6" i="6" s="1"/>
  <c r="R4" i="6"/>
  <c r="T14" i="6"/>
  <c r="U6" i="6" a="1"/>
  <c r="U6" i="6" s="1"/>
  <c r="X8" i="6"/>
  <c r="P8" i="6"/>
  <c r="U14" i="6"/>
  <c r="X12" i="6"/>
  <c r="P12" i="6"/>
  <c r="S10" i="6" a="1"/>
  <c r="S10" i="6" s="1"/>
  <c r="V6" i="6" a="1"/>
  <c r="V6" i="6" s="1"/>
  <c r="N6" i="6" a="1"/>
  <c r="N6" i="6" s="1"/>
  <c r="Q4" i="6"/>
  <c r="O12" i="6"/>
  <c r="P4" i="6"/>
  <c r="V8" i="6"/>
  <c r="W8" i="6"/>
  <c r="O8" i="6"/>
  <c r="R10" i="6" a="1"/>
  <c r="R10" i="6" s="1"/>
  <c r="N19" i="6"/>
  <c r="G46" i="6"/>
  <c r="O19" i="6"/>
  <c r="AP26" i="6"/>
  <c r="J36" i="6"/>
  <c r="AU25" i="6"/>
  <c r="AS21" i="6"/>
  <c r="AS47" i="6" s="1"/>
  <c r="AQ21" i="6"/>
  <c r="AR21" i="6"/>
  <c r="AR47" i="6" s="1"/>
  <c r="AT21" i="6"/>
  <c r="AT47" i="6" s="1"/>
  <c r="CS14" i="6" a="1"/>
  <c r="CS14" i="6" s="1"/>
  <c r="CK14" i="6" a="1"/>
  <c r="CK14" i="6" s="1"/>
  <c r="CK12" i="6" a="1"/>
  <c r="CK12" i="6" s="1"/>
  <c r="CP10" i="6" a="1"/>
  <c r="CP10" i="6" s="1"/>
  <c r="CI10" i="6" a="1"/>
  <c r="CI10" i="6" s="1"/>
  <c r="CL8" i="6" a="1"/>
  <c r="CL8" i="6" s="1"/>
  <c r="CO6" i="6" a="1"/>
  <c r="CO6" i="6" s="1"/>
  <c r="CQ4" i="6" a="1"/>
  <c r="CQ4" i="6" s="1"/>
  <c r="CK4" i="6" a="1"/>
  <c r="CK4" i="6" s="1"/>
  <c r="CR14" i="6" a="1"/>
  <c r="CR14" i="6" s="1"/>
  <c r="CJ14" i="6" a="1"/>
  <c r="CJ14" i="6" s="1"/>
  <c r="CP12" i="6" a="1"/>
  <c r="CP12" i="6" s="1"/>
  <c r="CO10" i="6" a="1"/>
  <c r="CO10" i="6" s="1"/>
  <c r="CS8" i="6" a="1"/>
  <c r="CS8" i="6" s="1"/>
  <c r="CK8" i="6" a="1"/>
  <c r="CK8" i="6" s="1"/>
  <c r="CN6" i="6" a="1"/>
  <c r="CN6" i="6" s="1"/>
  <c r="CJ4" i="6" a="1"/>
  <c r="CJ4" i="6" s="1"/>
  <c r="CQ14" i="6" a="1"/>
  <c r="CQ14" i="6" s="1"/>
  <c r="CI14" i="6" a="1"/>
  <c r="CI14" i="6" s="1"/>
  <c r="CO12" i="6" a="1"/>
  <c r="CO12" i="6" s="1"/>
  <c r="CJ12" i="6" a="1"/>
  <c r="CJ12" i="6" s="1"/>
  <c r="CN10" i="6" a="1"/>
  <c r="CN10" i="6" s="1"/>
  <c r="CR8" i="6" a="1"/>
  <c r="CR8" i="6" s="1"/>
  <c r="CJ8" i="6" a="1"/>
  <c r="CJ8" i="6" s="1"/>
  <c r="CM6" i="6" a="1"/>
  <c r="CM6" i="6" s="1"/>
  <c r="CP4" i="6" a="1"/>
  <c r="CP4" i="6" s="1"/>
  <c r="CI4" i="6" a="1"/>
  <c r="CI4" i="6" s="1"/>
  <c r="CP14" i="6" a="1"/>
  <c r="CP14" i="6" s="1"/>
  <c r="CI12" i="6" a="1"/>
  <c r="CI12" i="6" s="1"/>
  <c r="CQ8" i="6" a="1"/>
  <c r="CQ8" i="6" s="1"/>
  <c r="CI8" i="6" a="1"/>
  <c r="CI8" i="6" s="1"/>
  <c r="CL6" i="6" a="1"/>
  <c r="CL6" i="6" s="1"/>
  <c r="CO4" i="6" a="1"/>
  <c r="CO4" i="6" s="1"/>
  <c r="CL10" i="6" a="1"/>
  <c r="CL10" i="6" s="1"/>
  <c r="CO14" i="6" a="1"/>
  <c r="CO14" i="6" s="1"/>
  <c r="CS12" i="6" a="1"/>
  <c r="CS12" i="6" s="1"/>
  <c r="CN12" i="6" a="1"/>
  <c r="CN12" i="6" s="1"/>
  <c r="CS10" i="6" a="1"/>
  <c r="CS10" i="6" s="1"/>
  <c r="CM10" i="6" a="1"/>
  <c r="CM10" i="6" s="1"/>
  <c r="CP8" i="6" a="1"/>
  <c r="CP8" i="6" s="1"/>
  <c r="CS6" i="6" a="1"/>
  <c r="CS6" i="6" s="1"/>
  <c r="CK6" i="6" a="1"/>
  <c r="CK6" i="6" s="1"/>
  <c r="CN4" i="6" a="1"/>
  <c r="CN4" i="6" s="1"/>
  <c r="CI6" i="6" a="1"/>
  <c r="CI6" i="6" s="1"/>
  <c r="CN14" i="6" a="1"/>
  <c r="CN14" i="6" s="1"/>
  <c r="CM12" i="6" a="1"/>
  <c r="CM12" i="6" s="1"/>
  <c r="CR10" i="6" a="1"/>
  <c r="CR10" i="6" s="1"/>
  <c r="CO8" i="6" a="1"/>
  <c r="CO8" i="6" s="1"/>
  <c r="CR6" i="6" a="1"/>
  <c r="CR6" i="6" s="1"/>
  <c r="CJ6" i="6" a="1"/>
  <c r="CJ6" i="6" s="1"/>
  <c r="CM4" i="6" a="1"/>
  <c r="CM4" i="6" s="1"/>
  <c r="CM14" i="6" a="1"/>
  <c r="CM14" i="6" s="1"/>
  <c r="CR12" i="6" a="1"/>
  <c r="CR12" i="6" s="1"/>
  <c r="CK10" i="6" a="1"/>
  <c r="CK10" i="6" s="1"/>
  <c r="CN8" i="6" a="1"/>
  <c r="CN8" i="6" s="1"/>
  <c r="CQ6" i="6" a="1"/>
  <c r="CQ6" i="6" s="1"/>
  <c r="CS4" i="6" a="1"/>
  <c r="CS4" i="6" s="1"/>
  <c r="CL14" i="6" a="1"/>
  <c r="CL14" i="6" s="1"/>
  <c r="CQ12" i="6" a="1"/>
  <c r="CQ12" i="6" s="1"/>
  <c r="CL12" i="6" a="1"/>
  <c r="CL12" i="6" s="1"/>
  <c r="CQ10" i="6" a="1"/>
  <c r="CQ10" i="6" s="1"/>
  <c r="CJ10" i="6" a="1"/>
  <c r="CJ10" i="6" s="1"/>
  <c r="CM8" i="6" a="1"/>
  <c r="CM8" i="6" s="1"/>
  <c r="CP6" i="6" a="1"/>
  <c r="CP6" i="6" s="1"/>
  <c r="CR4" i="6" a="1"/>
  <c r="CR4" i="6" s="1"/>
  <c r="CL4" i="6" a="1"/>
  <c r="CL4" i="6" s="1"/>
  <c r="AW21" i="6"/>
  <c r="AP21" i="6"/>
  <c r="G10" i="5"/>
  <c r="I20" i="7"/>
  <c r="G45" i="6"/>
  <c r="CG25" i="6"/>
  <c r="CC25" i="6"/>
  <c r="BY25" i="6"/>
  <c r="BU25" i="6"/>
  <c r="BQ25" i="6"/>
  <c r="BM25" i="6"/>
  <c r="CE25" i="6"/>
  <c r="CA25" i="6"/>
  <c r="BW25" i="6"/>
  <c r="BS25" i="6"/>
  <c r="BO25" i="6"/>
  <c r="BK25" i="6"/>
  <c r="CB25" i="6"/>
  <c r="BT25" i="6"/>
  <c r="BL25" i="6"/>
  <c r="CF25" i="6"/>
  <c r="BX25" i="6"/>
  <c r="BP25" i="6"/>
  <c r="BR25" i="6"/>
  <c r="CD25" i="6"/>
  <c r="BN25" i="6"/>
  <c r="BZ25" i="6"/>
  <c r="BJ25" i="6"/>
  <c r="BV25" i="6"/>
  <c r="AH22" i="6"/>
  <c r="J52" i="7"/>
  <c r="J44" i="7"/>
  <c r="J55" i="7"/>
  <c r="J49" i="7"/>
  <c r="J45" i="7"/>
  <c r="L16" i="7"/>
  <c r="J56" i="7"/>
  <c r="J50" i="7"/>
  <c r="J42" i="7"/>
  <c r="J59" i="7"/>
  <c r="J51" i="7"/>
  <c r="J43" i="7"/>
  <c r="V30" i="6"/>
  <c r="O4" i="5" s="1"/>
  <c r="R30" i="6"/>
  <c r="K4" i="5" s="1"/>
  <c r="N30" i="6"/>
  <c r="G4" i="5" s="1"/>
  <c r="CS30" i="6"/>
  <c r="X30" i="6"/>
  <c r="Q4" i="5" s="1"/>
  <c r="T30" i="6"/>
  <c r="M4" i="5" s="1"/>
  <c r="P30" i="6"/>
  <c r="I4" i="5" s="1"/>
  <c r="S30" i="6"/>
  <c r="L4" i="5" s="1"/>
  <c r="W30" i="6"/>
  <c r="P4" i="5" s="1"/>
  <c r="O30" i="6"/>
  <c r="H4" i="5" s="1"/>
  <c r="U30" i="6"/>
  <c r="N4" i="5" s="1"/>
  <c r="Q30" i="6"/>
  <c r="J4" i="5" s="1"/>
  <c r="M30" i="6"/>
  <c r="F4" i="5" s="1"/>
  <c r="P18" i="6"/>
  <c r="D31" i="2"/>
  <c r="K45" i="7"/>
  <c r="K60" i="7"/>
  <c r="K56" i="7"/>
  <c r="K51" i="7"/>
  <c r="K52" i="7"/>
  <c r="K44" i="7"/>
  <c r="C25" i="5"/>
  <c r="O48" i="6" a="1"/>
  <c r="AO26" i="6" a="1"/>
  <c r="AN26" i="6" a="1"/>
  <c r="AG6" i="6"/>
  <c r="P48" i="6" a="1"/>
  <c r="D24" i="5" a="1"/>
  <c r="A25" i="5" l="1"/>
  <c r="J81" i="8"/>
  <c r="B25" i="5"/>
  <c r="B26" i="5" s="1"/>
  <c r="B27" i="5" s="1"/>
  <c r="B28" i="5" s="1"/>
  <c r="O48" i="6"/>
  <c r="AO26" i="6"/>
  <c r="CT10" i="6"/>
  <c r="CT6" i="6"/>
  <c r="CT14" i="6"/>
  <c r="CT12" i="6"/>
  <c r="CT8" i="6"/>
  <c r="D24" i="5"/>
  <c r="C68" i="5"/>
  <c r="C20" i="5"/>
  <c r="P37" i="6"/>
  <c r="N37" i="6"/>
  <c r="O37" i="6"/>
  <c r="AG4" i="6"/>
  <c r="AN26" i="6"/>
  <c r="AN25" i="6" s="1"/>
  <c r="AN22" i="6" s="1"/>
  <c r="O59" i="6"/>
  <c r="P59" i="6"/>
  <c r="N59" i="6"/>
  <c r="AE26" i="6"/>
  <c r="AG25" i="6"/>
  <c r="AP25" i="6"/>
  <c r="AW26" i="6"/>
  <c r="AW25" i="6" s="1"/>
  <c r="AW22" i="6" s="1"/>
  <c r="P48" i="6"/>
  <c r="AU22" i="6"/>
  <c r="AU23" i="6"/>
  <c r="AU24" i="6"/>
  <c r="AG24" i="6" s="1"/>
  <c r="CI28" i="6"/>
  <c r="CI27" i="6"/>
  <c r="P86" i="6"/>
  <c r="O86" i="6"/>
  <c r="N86" i="6"/>
  <c r="M54" i="6"/>
  <c r="AE6" i="6"/>
  <c r="P19" i="6" a="1"/>
  <c r="F27" i="5" a="1"/>
  <c r="F28" i="5" a="1"/>
  <c r="F27" i="5" l="1"/>
  <c r="C35" i="5" s="1"/>
  <c r="A35" i="5" s="1"/>
  <c r="AG23" i="6"/>
  <c r="AD26" i="6"/>
  <c r="AV26" i="6"/>
  <c r="AV25" i="6" s="1"/>
  <c r="AV24" i="6" s="1"/>
  <c r="F28" i="5"/>
  <c r="B29" i="5"/>
  <c r="B30" i="5" s="1"/>
  <c r="B31" i="5" s="1"/>
  <c r="AE4" i="6"/>
  <c r="AN24" i="6"/>
  <c r="AN23" i="6"/>
  <c r="P19" i="6"/>
  <c r="AP23" i="6"/>
  <c r="AP22" i="6"/>
  <c r="AP24" i="6"/>
  <c r="AG22" i="6"/>
  <c r="AE25" i="6"/>
  <c r="M25" i="6"/>
  <c r="AW24" i="6"/>
  <c r="AW23" i="6"/>
  <c r="CJ27" i="6"/>
  <c r="CJ28" i="6"/>
  <c r="A31" i="5" l="1"/>
  <c r="F25" i="5" s="1"/>
  <c r="B32" i="5"/>
  <c r="AV23" i="6"/>
  <c r="AV22" i="6"/>
  <c r="AE24" i="6"/>
  <c r="AE23" i="6"/>
  <c r="P116" i="6"/>
  <c r="O116" i="6"/>
  <c r="N116" i="6"/>
  <c r="AE22" i="6"/>
  <c r="CK27" i="6"/>
  <c r="CK28" i="6"/>
  <c r="N81" i="6"/>
  <c r="P81" i="6"/>
  <c r="O81" i="6"/>
  <c r="A32" i="5" l="1"/>
  <c r="H25" i="5" s="1"/>
  <c r="B33" i="5"/>
  <c r="CL28" i="6"/>
  <c r="CM28" i="6"/>
  <c r="CM27" i="6"/>
  <c r="CL27" i="6"/>
  <c r="B35" i="5" l="1"/>
  <c r="B36" i="5" s="1"/>
  <c r="A33" i="5"/>
  <c r="J25" i="5" s="1"/>
  <c r="B34" i="5"/>
  <c r="CN27" i="6"/>
  <c r="CO27" i="6"/>
  <c r="CN28" i="6"/>
  <c r="AO25" i="6"/>
  <c r="J31" i="6"/>
  <c r="J3" i="6" s="1"/>
  <c r="J5" i="6" s="1"/>
  <c r="J7" i="6" s="1"/>
  <c r="J9" i="6" s="1"/>
  <c r="J11" i="6" s="1"/>
  <c r="J13" i="6" s="1"/>
  <c r="H10" i="5"/>
  <c r="Q18" i="6"/>
  <c r="L55" i="7"/>
  <c r="L49" i="7"/>
  <c r="L50" i="7"/>
  <c r="L42" i="7"/>
  <c r="L43" i="7"/>
  <c r="BV22" i="6"/>
  <c r="BV24" i="6"/>
  <c r="BV23" i="6"/>
  <c r="BN22" i="6"/>
  <c r="BN24" i="6"/>
  <c r="BN23" i="6"/>
  <c r="M24" i="6"/>
  <c r="M22" i="6"/>
  <c r="M23" i="6"/>
  <c r="CB23" i="6"/>
  <c r="CB22" i="6"/>
  <c r="CB24" i="6"/>
  <c r="BK22" i="6"/>
  <c r="BK23" i="6"/>
  <c r="BK24" i="6"/>
  <c r="CA24" i="6"/>
  <c r="CA22" i="6"/>
  <c r="CA23" i="6"/>
  <c r="BU22" i="6"/>
  <c r="BU23" i="6"/>
  <c r="BU24" i="6"/>
  <c r="CR30" i="6"/>
  <c r="CR29" i="6"/>
  <c r="BJ22" i="6"/>
  <c r="BJ24" i="6"/>
  <c r="BJ23" i="6"/>
  <c r="CD22" i="6"/>
  <c r="CD24" i="6"/>
  <c r="CD23" i="6"/>
  <c r="BP24" i="6"/>
  <c r="BP23" i="6"/>
  <c r="BP22" i="6"/>
  <c r="BO22" i="6"/>
  <c r="BO23" i="6"/>
  <c r="BO24" i="6"/>
  <c r="CE22" i="6"/>
  <c r="CE23" i="6"/>
  <c r="CE24" i="6"/>
  <c r="BY22" i="6"/>
  <c r="BY23" i="6"/>
  <c r="BY24" i="6"/>
  <c r="AK22" i="6"/>
  <c r="AK23" i="6" s="1"/>
  <c r="AI22" i="6"/>
  <c r="AI23" i="6" s="1"/>
  <c r="AW20" i="6" s="1"/>
  <c r="AW3" i="6" s="1"/>
  <c r="AW5" i="6" s="1"/>
  <c r="AW7" i="6" s="1"/>
  <c r="AW9" i="6" s="1"/>
  <c r="AW11" i="6" s="1"/>
  <c r="AW13" i="6" s="1"/>
  <c r="AH23" i="6"/>
  <c r="AR20" i="6" s="1"/>
  <c r="BZ22" i="6"/>
  <c r="BZ23" i="6"/>
  <c r="BZ24" i="6"/>
  <c r="BX24" i="6"/>
  <c r="BX23" i="6"/>
  <c r="BX22" i="6"/>
  <c r="BL24" i="6"/>
  <c r="BL23" i="6"/>
  <c r="BL22" i="6"/>
  <c r="BS22" i="6"/>
  <c r="BS24" i="6"/>
  <c r="BS23" i="6"/>
  <c r="BM22" i="6"/>
  <c r="BM24" i="6"/>
  <c r="BM23" i="6"/>
  <c r="CC22" i="6"/>
  <c r="CC24" i="6"/>
  <c r="CC23" i="6"/>
  <c r="BR22" i="6"/>
  <c r="BR24" i="6"/>
  <c r="BR23" i="6"/>
  <c r="CF24" i="6"/>
  <c r="CF23" i="6"/>
  <c r="CF22" i="6"/>
  <c r="BT24" i="6"/>
  <c r="BT22" i="6"/>
  <c r="BT23" i="6"/>
  <c r="BW22" i="6"/>
  <c r="BW23" i="6"/>
  <c r="BW24" i="6"/>
  <c r="BQ22" i="6"/>
  <c r="BQ23" i="6"/>
  <c r="BQ24" i="6"/>
  <c r="CG22" i="6"/>
  <c r="CG23" i="6"/>
  <c r="CG24" i="6"/>
  <c r="AD6" i="6"/>
  <c r="AR26" i="6" a="1"/>
  <c r="Q19" i="6" a="1"/>
  <c r="B38" i="5" l="1"/>
  <c r="B39" i="5" s="1"/>
  <c r="B37" i="5"/>
  <c r="AD4" i="6"/>
  <c r="AC4" i="6" s="1"/>
  <c r="AC6" i="6"/>
  <c r="M66" i="6"/>
  <c r="M88" i="6" s="1"/>
  <c r="M121" i="6" s="1"/>
  <c r="AD25" i="6"/>
  <c r="Q19" i="6"/>
  <c r="AR26" i="6"/>
  <c r="AR3" i="6"/>
  <c r="AT20" i="6"/>
  <c r="AS20" i="6"/>
  <c r="CO28" i="6"/>
  <c r="AO20" i="6"/>
  <c r="AX20" i="6" s="1"/>
  <c r="AP20" i="6"/>
  <c r="AP3" i="6" s="1"/>
  <c r="AP5" i="6" s="1"/>
  <c r="AP7" i="6" s="1"/>
  <c r="AP9" i="6" s="1"/>
  <c r="AP11" i="6" s="1"/>
  <c r="AP13" i="6" s="1"/>
  <c r="I10" i="5"/>
  <c r="AU20" i="6"/>
  <c r="AU3" i="6" s="1"/>
  <c r="AU5" i="6" s="1"/>
  <c r="AU7" i="6" s="1"/>
  <c r="AU9" i="6" s="1"/>
  <c r="AU11" i="6" s="1"/>
  <c r="AU13" i="6" s="1"/>
  <c r="AV20" i="6"/>
  <c r="AO22" i="6"/>
  <c r="AO23" i="6"/>
  <c r="AO24" i="6"/>
  <c r="BV20" i="6"/>
  <c r="AN20" i="6"/>
  <c r="AN3" i="6" s="1"/>
  <c r="AN5" i="6" s="1"/>
  <c r="AN7" i="6" s="1"/>
  <c r="AN9" i="6" s="1"/>
  <c r="AN11" i="6" s="1"/>
  <c r="AN13" i="6" s="1"/>
  <c r="R18" i="6"/>
  <c r="CQ30" i="6"/>
  <c r="CQ29" i="6"/>
  <c r="Q48" i="6" a="1"/>
  <c r="AT26" i="6" a="1"/>
  <c r="AS26" i="6" a="1"/>
  <c r="R48" i="6" a="1"/>
  <c r="A39" i="5" l="1"/>
  <c r="B43" i="5"/>
  <c r="A43" i="5" s="1"/>
  <c r="B40" i="5"/>
  <c r="AD24" i="6"/>
  <c r="AD23" i="6"/>
  <c r="Q48" i="6"/>
  <c r="J10" i="5" s="1"/>
  <c r="AD22" i="6"/>
  <c r="AR25" i="6"/>
  <c r="R48" i="6"/>
  <c r="AS26" i="6"/>
  <c r="AS25" i="6" s="1"/>
  <c r="AT26" i="6"/>
  <c r="AT25" i="6" s="1"/>
  <c r="AR5" i="6"/>
  <c r="AR7" i="6" s="1"/>
  <c r="AR9" i="6" s="1"/>
  <c r="AR11" i="6" s="1"/>
  <c r="AR13" i="6" s="1"/>
  <c r="AR48" i="6"/>
  <c r="AS3" i="6"/>
  <c r="AT3" i="6"/>
  <c r="CP27" i="6"/>
  <c r="CP28" i="6"/>
  <c r="AO3" i="6"/>
  <c r="AO5" i="6" s="1"/>
  <c r="AO7" i="6" s="1"/>
  <c r="AO9" i="6" s="1"/>
  <c r="AO11" i="6" s="1"/>
  <c r="AO13" i="6" s="1"/>
  <c r="N54" i="6"/>
  <c r="BJ20" i="6"/>
  <c r="AV3" i="6"/>
  <c r="AV5" i="6" s="1"/>
  <c r="AV7" i="6" s="1"/>
  <c r="AV9" i="6" s="1"/>
  <c r="AV11" i="6" s="1"/>
  <c r="AV13" i="6" s="1"/>
  <c r="CP30" i="6"/>
  <c r="CP29" i="6"/>
  <c r="S18" i="6"/>
  <c r="BV3" i="6"/>
  <c r="BV5" i="6" s="1"/>
  <c r="BV7" i="6" s="1"/>
  <c r="BV9" i="6" s="1"/>
  <c r="BV11" i="6" s="1"/>
  <c r="BV13" i="6" s="1"/>
  <c r="BW20" i="6"/>
  <c r="AX3" i="6"/>
  <c r="AX5" i="6" s="1"/>
  <c r="AX7" i="6" s="1"/>
  <c r="AX9" i="6" s="1"/>
  <c r="AX11" i="6" s="1"/>
  <c r="AX13" i="6" s="1"/>
  <c r="AY20" i="6"/>
  <c r="R19" i="6" a="1"/>
  <c r="S19" i="6" a="1"/>
  <c r="B41" i="5" l="1"/>
  <c r="A40" i="5"/>
  <c r="B44" i="5"/>
  <c r="A44" i="5" s="1"/>
  <c r="R19" i="6"/>
  <c r="AR23" i="6"/>
  <c r="AR22" i="6"/>
  <c r="AR24" i="6"/>
  <c r="N25" i="6"/>
  <c r="S19" i="6"/>
  <c r="AS24" i="6"/>
  <c r="AS22" i="6"/>
  <c r="AS23" i="6"/>
  <c r="AQ25" i="6"/>
  <c r="AT24" i="6"/>
  <c r="AT22" i="6"/>
  <c r="AT23" i="6"/>
  <c r="AQ26" i="6"/>
  <c r="AT5" i="6"/>
  <c r="AT7" i="6" s="1"/>
  <c r="AT9" i="6" s="1"/>
  <c r="AT11" i="6" s="1"/>
  <c r="AT13" i="6" s="1"/>
  <c r="AT48" i="6"/>
  <c r="AS5" i="6"/>
  <c r="AS7" i="6" s="1"/>
  <c r="AS9" i="6" s="1"/>
  <c r="AS11" i="6" s="1"/>
  <c r="AS13" i="6" s="1"/>
  <c r="AS48" i="6"/>
  <c r="CQ27" i="6"/>
  <c r="CQ28" i="6"/>
  <c r="O54" i="6"/>
  <c r="P54" i="6"/>
  <c r="K10" i="5"/>
  <c r="BX20" i="6"/>
  <c r="BW3" i="6"/>
  <c r="BW5" i="6" s="1"/>
  <c r="BW7" i="6" s="1"/>
  <c r="BW9" i="6" s="1"/>
  <c r="BW11" i="6" s="1"/>
  <c r="BW13" i="6" s="1"/>
  <c r="AZ20" i="6"/>
  <c r="AY3" i="6"/>
  <c r="AY5" i="6" s="1"/>
  <c r="AY7" i="6" s="1"/>
  <c r="AY9" i="6" s="1"/>
  <c r="AY11" i="6" s="1"/>
  <c r="AY13" i="6" s="1"/>
  <c r="CO30" i="6"/>
  <c r="CO29" i="6"/>
  <c r="T18" i="6"/>
  <c r="BK20" i="6"/>
  <c r="BJ3" i="6"/>
  <c r="BJ5" i="6" s="1"/>
  <c r="BJ7" i="6" s="1"/>
  <c r="BJ9" i="6" s="1"/>
  <c r="BJ11" i="6" s="1"/>
  <c r="BJ13" i="6" s="1"/>
  <c r="T48" i="6" a="1"/>
  <c r="S48" i="6" a="1"/>
  <c r="AF6" i="6"/>
  <c r="A41" i="5" l="1"/>
  <c r="B45" i="5"/>
  <c r="A45" i="5" s="1"/>
  <c r="B42" i="5"/>
  <c r="AF4" i="6"/>
  <c r="N22" i="6"/>
  <c r="S48" i="6"/>
  <c r="L10" i="5" s="1"/>
  <c r="N23" i="6"/>
  <c r="AF26" i="6"/>
  <c r="AF25" i="6"/>
  <c r="N24" i="6"/>
  <c r="O25" i="6"/>
  <c r="P25" i="6"/>
  <c r="T48" i="6"/>
  <c r="AQ22" i="6"/>
  <c r="AQ24" i="6"/>
  <c r="AQ23" i="6"/>
  <c r="CS27" i="6"/>
  <c r="CR27" i="6"/>
  <c r="CR28" i="6"/>
  <c r="CS28" i="6"/>
  <c r="N76" i="6"/>
  <c r="BA20" i="6"/>
  <c r="AZ3" i="6"/>
  <c r="AZ5" i="6" s="1"/>
  <c r="AZ7" i="6" s="1"/>
  <c r="AZ9" i="6" s="1"/>
  <c r="AZ11" i="6" s="1"/>
  <c r="AZ13" i="6" s="1"/>
  <c r="BL20" i="6"/>
  <c r="BK3" i="6"/>
  <c r="BK5" i="6" s="1"/>
  <c r="BK7" i="6" s="1"/>
  <c r="BK9" i="6" s="1"/>
  <c r="BK11" i="6" s="1"/>
  <c r="BK13" i="6" s="1"/>
  <c r="U18" i="6"/>
  <c r="CN30" i="6"/>
  <c r="CN29" i="6"/>
  <c r="BY20" i="6"/>
  <c r="BX3" i="6"/>
  <c r="BX5" i="6" s="1"/>
  <c r="BX7" i="6" s="1"/>
  <c r="BX9" i="6" s="1"/>
  <c r="BX11" i="6" s="1"/>
  <c r="BX13" i="6" s="1"/>
  <c r="U48" i="6" a="1"/>
  <c r="T19" i="6" a="1"/>
  <c r="A42" i="5" l="1"/>
  <c r="B46" i="5"/>
  <c r="T19" i="6"/>
  <c r="AF24" i="6"/>
  <c r="AF23" i="6"/>
  <c r="N111" i="6"/>
  <c r="N93" i="6"/>
  <c r="P24" i="6"/>
  <c r="O24" i="6"/>
  <c r="O23" i="6"/>
  <c r="O22" i="6"/>
  <c r="P23" i="6"/>
  <c r="P22" i="6"/>
  <c r="AF22" i="6"/>
  <c r="U48" i="6"/>
  <c r="O76" i="6"/>
  <c r="P76" i="6"/>
  <c r="M10" i="5"/>
  <c r="V18" i="6"/>
  <c r="BM20" i="6"/>
  <c r="BL3" i="6"/>
  <c r="BL5" i="6" s="1"/>
  <c r="BL7" i="6" s="1"/>
  <c r="BL9" i="6" s="1"/>
  <c r="BL11" i="6" s="1"/>
  <c r="BL13" i="6" s="1"/>
  <c r="BZ20" i="6"/>
  <c r="BY3" i="6"/>
  <c r="BY5" i="6" s="1"/>
  <c r="BY7" i="6" s="1"/>
  <c r="BY9" i="6" s="1"/>
  <c r="BY11" i="6" s="1"/>
  <c r="BY13" i="6" s="1"/>
  <c r="BB20" i="6"/>
  <c r="BA3" i="6"/>
  <c r="BA5" i="6" s="1"/>
  <c r="BA7" i="6" s="1"/>
  <c r="BA9" i="6" s="1"/>
  <c r="BA11" i="6" s="1"/>
  <c r="BA13" i="6" s="1"/>
  <c r="CM30" i="6"/>
  <c r="CM29" i="6"/>
  <c r="U19" i="6" a="1"/>
  <c r="V48" i="6" a="1"/>
  <c r="A46" i="5" l="1"/>
  <c r="B47" i="5"/>
  <c r="U19" i="6"/>
  <c r="N28" i="6"/>
  <c r="O111" i="6"/>
  <c r="P111" i="6"/>
  <c r="N101" i="6"/>
  <c r="N27" i="6"/>
  <c r="N71" i="6"/>
  <c r="N94" i="6"/>
  <c r="N66" i="6"/>
  <c r="O28" i="6"/>
  <c r="O93" i="6"/>
  <c r="P28" i="6"/>
  <c r="P93" i="6"/>
  <c r="V48" i="6"/>
  <c r="N10" i="5"/>
  <c r="W18" i="6"/>
  <c r="CL29" i="6"/>
  <c r="CL30" i="6"/>
  <c r="CA20" i="6"/>
  <c r="BZ3" i="6"/>
  <c r="BZ5" i="6" s="1"/>
  <c r="BZ7" i="6" s="1"/>
  <c r="BZ9" i="6" s="1"/>
  <c r="BZ11" i="6" s="1"/>
  <c r="BZ13" i="6" s="1"/>
  <c r="BC20" i="6"/>
  <c r="BB3" i="6"/>
  <c r="BB5" i="6" s="1"/>
  <c r="BB7" i="6" s="1"/>
  <c r="BB9" i="6" s="1"/>
  <c r="BB11" i="6" s="1"/>
  <c r="BB13" i="6" s="1"/>
  <c r="BN20" i="6"/>
  <c r="BM3" i="6"/>
  <c r="BM5" i="6" s="1"/>
  <c r="BM7" i="6" s="1"/>
  <c r="BM9" i="6" s="1"/>
  <c r="BM11" i="6" s="1"/>
  <c r="BM13" i="6" s="1"/>
  <c r="V19" i="6" a="1"/>
  <c r="W48" i="6" a="1"/>
  <c r="A47" i="5" l="1"/>
  <c r="B48" i="5"/>
  <c r="V19" i="6"/>
  <c r="N88" i="6"/>
  <c r="O101" i="6"/>
  <c r="O27" i="6"/>
  <c r="P101" i="6"/>
  <c r="P27" i="6"/>
  <c r="P71" i="6"/>
  <c r="O71" i="6"/>
  <c r="P66" i="6"/>
  <c r="O66" i="6"/>
  <c r="O94" i="6"/>
  <c r="P94" i="6"/>
  <c r="W48" i="6"/>
  <c r="O10" i="5"/>
  <c r="BN3" i="6"/>
  <c r="BN5" i="6" s="1"/>
  <c r="BN7" i="6" s="1"/>
  <c r="BN9" i="6" s="1"/>
  <c r="BN11" i="6" s="1"/>
  <c r="BN13" i="6" s="1"/>
  <c r="BO20" i="6"/>
  <c r="CB20" i="6"/>
  <c r="CA3" i="6"/>
  <c r="CA5" i="6" s="1"/>
  <c r="CA7" i="6" s="1"/>
  <c r="CA9" i="6" s="1"/>
  <c r="CA11" i="6" s="1"/>
  <c r="CA13" i="6" s="1"/>
  <c r="X18" i="6"/>
  <c r="CK30" i="6"/>
  <c r="CK29" i="6"/>
  <c r="BD20" i="6"/>
  <c r="BC3" i="6"/>
  <c r="BC5" i="6" s="1"/>
  <c r="BC7" i="6" s="1"/>
  <c r="BC9" i="6" s="1"/>
  <c r="BC11" i="6" s="1"/>
  <c r="BC13" i="6" s="1"/>
  <c r="W19" i="6" a="1"/>
  <c r="X19" i="6" a="1"/>
  <c r="B49" i="5" l="1"/>
  <c r="A48" i="5"/>
  <c r="W19" i="6"/>
  <c r="N106" i="6"/>
  <c r="N119" i="6" s="1"/>
  <c r="N121" i="6" s="1"/>
  <c r="O88" i="6"/>
  <c r="P88" i="6"/>
  <c r="X19" i="6"/>
  <c r="P10" i="5"/>
  <c r="CC20" i="6"/>
  <c r="CB3" i="6"/>
  <c r="CB5" i="6" s="1"/>
  <c r="CB7" i="6" s="1"/>
  <c r="CB9" i="6" s="1"/>
  <c r="CB11" i="6" s="1"/>
  <c r="CB13" i="6" s="1"/>
  <c r="BE20" i="6"/>
  <c r="BD3" i="6"/>
  <c r="BD5" i="6" s="1"/>
  <c r="BD7" i="6" s="1"/>
  <c r="BD9" i="6" s="1"/>
  <c r="BD11" i="6" s="1"/>
  <c r="BD13" i="6" s="1"/>
  <c r="BP20" i="6"/>
  <c r="BO3" i="6"/>
  <c r="BO5" i="6" s="1"/>
  <c r="BO7" i="6" s="1"/>
  <c r="BO9" i="6" s="1"/>
  <c r="BO11" i="6" s="1"/>
  <c r="BO13" i="6" s="1"/>
  <c r="CJ30" i="6"/>
  <c r="CJ29" i="6"/>
  <c r="X48" i="6" a="1"/>
  <c r="A49" i="5" l="1"/>
  <c r="B50" i="5"/>
  <c r="P106" i="6"/>
  <c r="P119" i="6" s="1"/>
  <c r="P121" i="6" s="1"/>
  <c r="O106" i="6"/>
  <c r="O119" i="6" s="1"/>
  <c r="O121" i="6" s="1"/>
  <c r="X48" i="6"/>
  <c r="Q10" i="5" s="1"/>
  <c r="Y19" i="6"/>
  <c r="BQ20" i="6"/>
  <c r="BP3" i="6"/>
  <c r="BP5" i="6" s="1"/>
  <c r="BP7" i="6" s="1"/>
  <c r="BP9" i="6" s="1"/>
  <c r="BP11" i="6" s="1"/>
  <c r="BP13" i="6" s="1"/>
  <c r="CD20" i="6"/>
  <c r="CC3" i="6"/>
  <c r="CC5" i="6" s="1"/>
  <c r="CC7" i="6" s="1"/>
  <c r="CC9" i="6" s="1"/>
  <c r="CC11" i="6" s="1"/>
  <c r="CC13" i="6" s="1"/>
  <c r="CI30" i="6"/>
  <c r="CI29" i="6"/>
  <c r="BF20" i="6"/>
  <c r="BE3" i="6"/>
  <c r="BE5" i="6" s="1"/>
  <c r="BE7" i="6" s="1"/>
  <c r="BE9" i="6" s="1"/>
  <c r="BE11" i="6" s="1"/>
  <c r="BE13" i="6" s="1"/>
  <c r="B51" i="5" l="1"/>
  <c r="B53" i="5" s="1"/>
  <c r="B52" i="5"/>
  <c r="CH29" i="6"/>
  <c r="CH30" i="6"/>
  <c r="BR20" i="6"/>
  <c r="BQ3" i="6"/>
  <c r="BQ5" i="6" s="1"/>
  <c r="BQ7" i="6" s="1"/>
  <c r="BQ9" i="6" s="1"/>
  <c r="BQ11" i="6" s="1"/>
  <c r="BQ13" i="6" s="1"/>
  <c r="BF3" i="6"/>
  <c r="BF5" i="6" s="1"/>
  <c r="BF7" i="6" s="1"/>
  <c r="BF9" i="6" s="1"/>
  <c r="BF11" i="6" s="1"/>
  <c r="BF13" i="6" s="1"/>
  <c r="BG20" i="6"/>
  <c r="CD3" i="6"/>
  <c r="CD5" i="6" s="1"/>
  <c r="CD7" i="6" s="1"/>
  <c r="CD9" i="6" s="1"/>
  <c r="CD11" i="6" s="1"/>
  <c r="CD13" i="6" s="1"/>
  <c r="CE20" i="6"/>
  <c r="B54" i="5" l="1"/>
  <c r="A54" i="5" s="1"/>
  <c r="A52" i="5"/>
  <c r="B55" i="5"/>
  <c r="A53" i="5"/>
  <c r="BS20" i="6"/>
  <c r="BR3" i="6"/>
  <c r="BR5" i="6" s="1"/>
  <c r="BR7" i="6" s="1"/>
  <c r="BR9" i="6" s="1"/>
  <c r="BR11" i="6" s="1"/>
  <c r="BR13" i="6" s="1"/>
  <c r="CF20" i="6"/>
  <c r="CE3" i="6"/>
  <c r="CE5" i="6" s="1"/>
  <c r="CE7" i="6" s="1"/>
  <c r="CE9" i="6" s="1"/>
  <c r="CE11" i="6" s="1"/>
  <c r="CE13" i="6" s="1"/>
  <c r="BH20" i="6"/>
  <c r="BG3" i="6"/>
  <c r="BG5" i="6" s="1"/>
  <c r="BG7" i="6" s="1"/>
  <c r="BG9" i="6" s="1"/>
  <c r="BG11" i="6" s="1"/>
  <c r="BG13" i="6" s="1"/>
  <c r="A55" i="5" l="1"/>
  <c r="B56" i="5"/>
  <c r="CG20" i="6"/>
  <c r="CG3" i="6" s="1"/>
  <c r="CG5" i="6" s="1"/>
  <c r="CG7" i="6" s="1"/>
  <c r="CG9" i="6" s="1"/>
  <c r="CG11" i="6" s="1"/>
  <c r="CG13" i="6" s="1"/>
  <c r="CF3" i="6"/>
  <c r="CF5" i="6" s="1"/>
  <c r="CF7" i="6" s="1"/>
  <c r="CF9" i="6" s="1"/>
  <c r="CF11" i="6" s="1"/>
  <c r="CF13" i="6" s="1"/>
  <c r="BI20" i="6"/>
  <c r="BI3" i="6" s="1"/>
  <c r="BI5" i="6" s="1"/>
  <c r="BI7" i="6" s="1"/>
  <c r="BI9" i="6" s="1"/>
  <c r="BI11" i="6" s="1"/>
  <c r="BI13" i="6" s="1"/>
  <c r="BH3" i="6"/>
  <c r="BH5" i="6" s="1"/>
  <c r="BH7" i="6" s="1"/>
  <c r="BH9" i="6" s="1"/>
  <c r="BH11" i="6" s="1"/>
  <c r="BH13" i="6" s="1"/>
  <c r="BT20" i="6"/>
  <c r="BS3" i="6"/>
  <c r="BS5" i="6" s="1"/>
  <c r="BS7" i="6" s="1"/>
  <c r="BS9" i="6" s="1"/>
  <c r="BS11" i="6" s="1"/>
  <c r="BS13" i="6" s="1"/>
  <c r="A56" i="5" l="1"/>
  <c r="B57" i="5"/>
  <c r="BU20" i="6"/>
  <c r="BU3" i="6" s="1"/>
  <c r="BU5" i="6" s="1"/>
  <c r="BU7" i="6" s="1"/>
  <c r="BU9" i="6" s="1"/>
  <c r="BU11" i="6" s="1"/>
  <c r="BU13" i="6" s="1"/>
  <c r="BT3" i="6"/>
  <c r="BT5" i="6" s="1"/>
  <c r="BT7" i="6" s="1"/>
  <c r="BT9" i="6" s="1"/>
  <c r="BT11" i="6" s="1"/>
  <c r="BT13" i="6" s="1"/>
  <c r="H27" i="5" a="1"/>
  <c r="B58" i="5" l="1"/>
  <c r="A57" i="5"/>
  <c r="H27" i="5"/>
  <c r="C36" i="5" s="1"/>
  <c r="A36" i="5" s="1"/>
  <c r="J27" i="5" a="1"/>
  <c r="A58" i="5" l="1"/>
  <c r="B59" i="5"/>
  <c r="J27" i="5"/>
  <c r="C37" i="5" s="1"/>
  <c r="A37" i="5" s="1"/>
  <c r="D27" i="5"/>
  <c r="A59" i="5" l="1"/>
  <c r="B60" i="5"/>
  <c r="CU24" i="6"/>
  <c r="A27" i="5"/>
  <c r="B61" i="5" l="1"/>
  <c r="A60" i="5"/>
  <c r="Q81" i="6"/>
  <c r="B62" i="5" l="1"/>
  <c r="A61" i="5"/>
  <c r="Q116" i="6"/>
  <c r="A62" i="5" l="1"/>
  <c r="B63" i="5"/>
  <c r="S116" i="6"/>
  <c r="R116" i="6"/>
  <c r="T116" i="6"/>
  <c r="R81" i="6"/>
  <c r="V81" i="6"/>
  <c r="X81" i="6"/>
  <c r="W81" i="6"/>
  <c r="T81" i="6"/>
  <c r="S81" i="6"/>
  <c r="U81" i="6"/>
  <c r="Q54" i="6"/>
  <c r="Q25" i="6" s="1"/>
  <c r="A63" i="5" l="1"/>
  <c r="B64" i="5"/>
  <c r="Y81" i="6"/>
  <c r="Q24" i="6"/>
  <c r="Q23" i="6"/>
  <c r="Q22" i="6"/>
  <c r="CY47" i="6"/>
  <c r="A64" i="5" l="1"/>
  <c r="B65" i="5"/>
  <c r="Q28" i="6"/>
  <c r="Q111" i="6"/>
  <c r="Q93" i="6"/>
  <c r="Q66" i="6"/>
  <c r="Q37" i="6"/>
  <c r="Q71" i="6"/>
  <c r="B66" i="5" l="1"/>
  <c r="A65" i="5"/>
  <c r="R54" i="6"/>
  <c r="R25" i="6" s="1"/>
  <c r="T54" i="6"/>
  <c r="T25" i="6" s="1"/>
  <c r="S54" i="6"/>
  <c r="S25" i="6" s="1"/>
  <c r="Q94" i="6"/>
  <c r="Q76" i="6"/>
  <c r="Q101" i="6"/>
  <c r="Q27" i="6"/>
  <c r="Q59" i="6"/>
  <c r="A66" i="5" l="1"/>
  <c r="B67" i="5"/>
  <c r="A67" i="5" s="1"/>
  <c r="S24" i="6"/>
  <c r="T24" i="6"/>
  <c r="R24" i="6"/>
  <c r="S22" i="6"/>
  <c r="S23" i="6"/>
  <c r="DA47" i="6"/>
  <c r="T22" i="6"/>
  <c r="T23" i="6"/>
  <c r="DB47" i="6"/>
  <c r="CZ47" i="6"/>
  <c r="R22" i="6"/>
  <c r="R23" i="6"/>
  <c r="Q86" i="6"/>
  <c r="Q88" i="6" s="1"/>
  <c r="Q106" i="6"/>
  <c r="Q119" i="6" s="1"/>
  <c r="CU25" i="6" l="1"/>
  <c r="CU28" i="6" s="1" a="1"/>
  <c r="CU28" i="6" s="1"/>
  <c r="CT4" i="6" s="1"/>
  <c r="DG4" i="6" s="1"/>
  <c r="DG8" i="6"/>
  <c r="DG6" i="6"/>
  <c r="DG10" i="6"/>
  <c r="DG14" i="6"/>
  <c r="DG12" i="6"/>
  <c r="T111" i="6"/>
  <c r="S111" i="6"/>
  <c r="T28" i="6"/>
  <c r="T93" i="6"/>
  <c r="S93" i="6"/>
  <c r="S28" i="6"/>
  <c r="R111" i="6"/>
  <c r="R93" i="6"/>
  <c r="R28" i="6"/>
  <c r="Q121" i="6"/>
  <c r="DF12" i="6" a="1"/>
  <c r="DE6" i="6" a="1"/>
  <c r="DF8" i="6" a="1"/>
  <c r="DB10" i="6" a="1"/>
  <c r="DD4" i="6" a="1"/>
  <c r="DA14" i="6" a="1"/>
  <c r="CU26" i="6" l="1" a="1"/>
  <c r="CU26" i="6" s="1"/>
  <c r="CU27" i="6" a="1"/>
  <c r="CU27" i="6" s="1"/>
  <c r="DF8" i="6"/>
  <c r="DE6" i="6"/>
  <c r="DD4" i="6"/>
  <c r="DB10" i="6"/>
  <c r="DF12" i="6"/>
  <c r="DA14" i="6"/>
  <c r="U76" i="6"/>
  <c r="X76" i="6"/>
  <c r="T76" i="6"/>
  <c r="W76" i="6"/>
  <c r="S76" i="6"/>
  <c r="V76" i="6"/>
  <c r="R76" i="6"/>
  <c r="S71" i="6"/>
  <c r="T71" i="6"/>
  <c r="R71" i="6"/>
  <c r="S37" i="6"/>
  <c r="R37" i="6"/>
  <c r="T37" i="6"/>
  <c r="S66" i="6"/>
  <c r="T66" i="6"/>
  <c r="R66" i="6"/>
  <c r="X59" i="6"/>
  <c r="U59" i="6"/>
  <c r="V59" i="6"/>
  <c r="S59" i="6"/>
  <c r="T59" i="6"/>
  <c r="R59" i="6"/>
  <c r="W59" i="6"/>
  <c r="S101" i="6"/>
  <c r="S27" i="6"/>
  <c r="R101" i="6"/>
  <c r="R27" i="6"/>
  <c r="T27" i="6"/>
  <c r="T101" i="6"/>
  <c r="S94" i="6"/>
  <c r="R94" i="6"/>
  <c r="T94" i="6"/>
  <c r="CX14" i="6" a="1"/>
  <c r="DA4" i="6" a="1"/>
  <c r="CW6" i="6" a="1"/>
  <c r="DD12" i="6" a="1"/>
  <c r="CW10" i="6" a="1"/>
  <c r="DE14" i="6" a="1"/>
  <c r="DD8" i="6" a="1"/>
  <c r="CZ14" i="6" a="1"/>
  <c r="DB14" i="6" a="1"/>
  <c r="CW4" i="6" a="1"/>
  <c r="DF14" i="6" a="1"/>
  <c r="CX10" i="6" a="1"/>
  <c r="DF4" i="6" a="1"/>
  <c r="DD6" i="6" a="1"/>
  <c r="CW12" i="6" a="1"/>
  <c r="DB12" i="6" a="1"/>
  <c r="CZ12" i="6" a="1"/>
  <c r="CV8" i="6" a="1"/>
  <c r="DD10" i="6" a="1"/>
  <c r="DE4" i="6" a="1"/>
  <c r="CZ10" i="6" a="1"/>
  <c r="CY4" i="6" a="1"/>
  <c r="CX12" i="6" a="1"/>
  <c r="CU14" i="6" a="1"/>
  <c r="CU4" i="6" a="1"/>
  <c r="CV12" i="6" a="1"/>
  <c r="CZ6" i="6" a="1"/>
  <c r="DC8" i="6" a="1"/>
  <c r="DF10" i="6" a="1"/>
  <c r="CW8" i="6" a="1"/>
  <c r="DA6" i="6" a="1"/>
  <c r="CX6" i="6" a="1"/>
  <c r="CX4" i="6" a="1"/>
  <c r="CV6" i="6" a="1"/>
  <c r="CU6" i="6" a="1"/>
  <c r="DA12" i="6" a="1"/>
  <c r="CY8" i="6" a="1"/>
  <c r="CV4" i="6" a="1"/>
  <c r="DE12" i="6" a="1"/>
  <c r="CV10" i="6" a="1"/>
  <c r="CU10" i="6" a="1"/>
  <c r="CU8" i="6" a="1"/>
  <c r="DB6" i="6" a="1"/>
  <c r="DE10" i="6" a="1"/>
  <c r="CZ8" i="6" a="1"/>
  <c r="DC12" i="6" a="1"/>
  <c r="DD14" i="6" a="1"/>
  <c r="CY14" i="6" a="1"/>
  <c r="CZ4" i="6" a="1"/>
  <c r="CU12" i="6" a="1"/>
  <c r="DA10" i="6" a="1"/>
  <c r="DB8" i="6" a="1"/>
  <c r="CW14" i="6" a="1"/>
  <c r="CY12" i="6" a="1"/>
  <c r="DF6" i="6" a="1"/>
  <c r="CV14" i="6" a="1"/>
  <c r="DC10" i="6" a="1"/>
  <c r="DC6" i="6" a="1"/>
  <c r="DB4" i="6" a="1"/>
  <c r="DA8" i="6" a="1"/>
  <c r="CY6" i="6" a="1"/>
  <c r="CX8" i="6" a="1"/>
  <c r="CY10" i="6" a="1"/>
  <c r="DC14" i="6" a="1"/>
  <c r="DE8" i="6" a="1"/>
  <c r="DC4" i="6" a="1"/>
  <c r="CY8" i="6" l="1"/>
  <c r="CU10" i="6"/>
  <c r="CW10" i="6"/>
  <c r="DA12" i="6"/>
  <c r="DA8" i="6"/>
  <c r="DA10" i="6"/>
  <c r="CX8" i="6"/>
  <c r="CU8" i="6"/>
  <c r="CW8" i="6"/>
  <c r="DD6" i="6"/>
  <c r="DF6" i="6"/>
  <c r="CV6" i="6"/>
  <c r="CW6" i="6"/>
  <c r="CX10" i="6"/>
  <c r="CU6" i="6"/>
  <c r="CY6" i="6"/>
  <c r="CZ8" i="6"/>
  <c r="CY10" i="6"/>
  <c r="DF10" i="6"/>
  <c r="DE8" i="6"/>
  <c r="CX6" i="6"/>
  <c r="DD14" i="6"/>
  <c r="CV8" i="6"/>
  <c r="DA6" i="6"/>
  <c r="DD10" i="6"/>
  <c r="DB6" i="6"/>
  <c r="DD8" i="6"/>
  <c r="DC6" i="6"/>
  <c r="DC8" i="6"/>
  <c r="DB8" i="6"/>
  <c r="CZ6" i="6"/>
  <c r="CW14" i="6"/>
  <c r="DE10" i="6"/>
  <c r="V116" i="6"/>
  <c r="X116" i="6"/>
  <c r="W116" i="6"/>
  <c r="U116" i="6"/>
  <c r="CV10" i="6"/>
  <c r="DE4" i="6"/>
  <c r="DF4" i="6"/>
  <c r="DC4" i="6"/>
  <c r="CV4" i="6"/>
  <c r="CW4" i="6"/>
  <c r="DB4" i="6"/>
  <c r="CZ4" i="6"/>
  <c r="CX4" i="6"/>
  <c r="CU4" i="6"/>
  <c r="DA4" i="6"/>
  <c r="CY4" i="6"/>
  <c r="DC10" i="6"/>
  <c r="DB12" i="6"/>
  <c r="CU12" i="6"/>
  <c r="DB14" i="6"/>
  <c r="CX14" i="6"/>
  <c r="CZ14" i="6"/>
  <c r="CX12" i="6"/>
  <c r="CY12" i="6"/>
  <c r="DE12" i="6"/>
  <c r="CZ12" i="6"/>
  <c r="DC14" i="6"/>
  <c r="DC12" i="6"/>
  <c r="CV14" i="6"/>
  <c r="CV12" i="6"/>
  <c r="CY14" i="6"/>
  <c r="CU14" i="6"/>
  <c r="DD12" i="6"/>
  <c r="DE14" i="6"/>
  <c r="CW12" i="6"/>
  <c r="CZ10" i="6"/>
  <c r="DF14" i="6"/>
  <c r="Y76" i="6"/>
  <c r="Y59" i="6"/>
  <c r="Y116" i="6" l="1"/>
  <c r="T86" i="6"/>
  <c r="T88" i="6" s="1"/>
  <c r="S86" i="6"/>
  <c r="S88" i="6" s="1"/>
  <c r="R86" i="6"/>
  <c r="R88" i="6" s="1"/>
  <c r="T106" i="6"/>
  <c r="T119" i="6" s="1"/>
  <c r="S106" i="6"/>
  <c r="S119" i="6" s="1"/>
  <c r="R106" i="6"/>
  <c r="R119" i="6" s="1"/>
  <c r="X54" i="6" l="1"/>
  <c r="X25" i="6" s="1"/>
  <c r="V54" i="6"/>
  <c r="V25" i="6" s="1"/>
  <c r="U54" i="6"/>
  <c r="U25" i="6" s="1"/>
  <c r="W54" i="6"/>
  <c r="W25" i="6" s="1"/>
  <c r="S121" i="6"/>
  <c r="T121" i="6"/>
  <c r="R121" i="6"/>
  <c r="W23" i="6" l="1"/>
  <c r="V22" i="6"/>
  <c r="X23" i="6"/>
  <c r="X22" i="6"/>
  <c r="U22" i="6"/>
  <c r="U23" i="6"/>
  <c r="X24" i="6"/>
  <c r="DF47" i="6"/>
  <c r="W22" i="6"/>
  <c r="W24" i="6"/>
  <c r="DE47" i="6"/>
  <c r="U24" i="6"/>
  <c r="DC47" i="6"/>
  <c r="Y25" i="6"/>
  <c r="Y54" i="6"/>
  <c r="V23" i="6"/>
  <c r="V24" i="6"/>
  <c r="DD47" i="6"/>
  <c r="W111" i="6" l="1"/>
  <c r="X111" i="6"/>
  <c r="V111" i="6"/>
  <c r="U111" i="6"/>
  <c r="W93" i="6"/>
  <c r="W28" i="6"/>
  <c r="X28" i="6"/>
  <c r="X93" i="6"/>
  <c r="V28" i="6"/>
  <c r="V93" i="6"/>
  <c r="U93" i="6"/>
  <c r="U28" i="6"/>
  <c r="Y22" i="6"/>
  <c r="Y23" i="6"/>
  <c r="Y24" i="6"/>
  <c r="V66" i="6" l="1"/>
  <c r="X37" i="6"/>
  <c r="W27" i="6"/>
  <c r="W101" i="6"/>
  <c r="U101" i="6"/>
  <c r="U27" i="6"/>
  <c r="V27" i="6"/>
  <c r="V101" i="6"/>
  <c r="X101" i="6"/>
  <c r="X27" i="6"/>
  <c r="W94" i="6"/>
  <c r="U94" i="6"/>
  <c r="V94" i="6"/>
  <c r="X94" i="6"/>
  <c r="X66" i="6"/>
  <c r="U66" i="6"/>
  <c r="X71" i="6"/>
  <c r="Y93" i="6"/>
  <c r="Y94" i="6" s="1"/>
  <c r="Y111" i="6"/>
  <c r="Y28" i="6"/>
  <c r="V37" i="6"/>
  <c r="W71" i="6"/>
  <c r="U37" i="6"/>
  <c r="U71" i="6"/>
  <c r="V71" i="6"/>
  <c r="W37" i="6"/>
  <c r="W66" i="6"/>
  <c r="Y27" i="6" l="1"/>
  <c r="Y101" i="6"/>
  <c r="Y66" i="6"/>
  <c r="Y37" i="6"/>
  <c r="Y71" i="6"/>
  <c r="X86" i="6" l="1"/>
  <c r="X88" i="6" s="1"/>
  <c r="X106" i="6"/>
  <c r="X119" i="6" s="1"/>
  <c r="X121" i="6" s="1"/>
  <c r="W106" i="6"/>
  <c r="W119" i="6" s="1"/>
  <c r="V106" i="6"/>
  <c r="V119" i="6" s="1"/>
  <c r="U106" i="6"/>
  <c r="U119" i="6" s="1"/>
  <c r="W86" i="6"/>
  <c r="W88" i="6" s="1"/>
  <c r="V86" i="6"/>
  <c r="V88" i="6" s="1"/>
  <c r="U86" i="6"/>
  <c r="U88" i="6" s="1"/>
  <c r="W121" i="6" l="1"/>
  <c r="Y106" i="6"/>
  <c r="Y119" i="6" s="1"/>
  <c r="V121" i="6"/>
  <c r="U121" i="6"/>
  <c r="Y86" i="6"/>
  <c r="Y88" i="6" s="1"/>
  <c r="Y121"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<sst xmlns="http://schemas.openxmlformats.org/spreadsheetml/2006/main" count="2684" uniqueCount="887">
  <si>
    <t>[DateAdded]</t>
  </si>
  <si>
    <t>[SAVETYPE1ENABLED]</t>
  </si>
  <si>
    <t/>
  </si>
  <si>
    <t>Initial Dynamic View (view on open)</t>
  </si>
  <si>
    <t>Refresh Forms Run Behavior</t>
  </si>
  <si>
    <t>[SheetFilter1]</t>
  </si>
  <si>
    <t>[SheetFilter5]</t>
  </si>
  <si>
    <t xml:space="preserve">    Max row warning threshold (leave blank for system default)</t>
  </si>
  <si>
    <t>Rebuild Data Ranges</t>
  </si>
  <si>
    <t xml:space="preserve">   Update existing data</t>
  </si>
  <si>
    <t>B</t>
  </si>
  <si>
    <t>(if you need more Axiom Queries, you can use</t>
  </si>
  <si>
    <t>This is a save to database report used to compute a dept/acct level forecast for the remaining months of the current year</t>
  </si>
  <si>
    <t>Mth4</t>
  </si>
  <si>
    <t>Mth8</t>
  </si>
  <si>
    <t>CYA2</t>
  </si>
  <si>
    <t>CYA6</t>
  </si>
  <si>
    <t>CYB3</t>
  </si>
  <si>
    <t>CYB7</t>
  </si>
  <si>
    <t>CYB12</t>
  </si>
  <si>
    <t>Method</t>
  </si>
  <si>
    <t>Current Value Defaults</t>
  </si>
  <si>
    <t>Sort results by these database columns</t>
  </si>
  <si>
    <t xml:space="preserve">Sheets to Process </t>
  </si>
  <si>
    <t>Batch Mode Source AQ</t>
  </si>
  <si>
    <t>Email Settings</t>
  </si>
  <si>
    <t>L74:L75</t>
  </si>
  <si>
    <t>Variable = YTD IP Per Unit * Forecasted Volume</t>
  </si>
  <si>
    <t>Capped Budget</t>
  </si>
  <si>
    <t>11</t>
  </si>
  <si>
    <t>Use Cached Settings</t>
  </si>
  <si>
    <t>DEPT.Description</t>
  </si>
  <si>
    <t>[View;Default]</t>
  </si>
  <si>
    <t>Current Dynamic Column Views</t>
  </si>
  <si>
    <t>Disable quick filter</t>
  </si>
  <si>
    <t>DataLookups to run on open</t>
  </si>
  <si>
    <t>Clear DataLookups on save</t>
  </si>
  <si>
    <t>E8</t>
  </si>
  <si>
    <t>F5</t>
  </si>
  <si>
    <t>Default Zoom</t>
  </si>
  <si>
    <t>(enter sheet name above)</t>
  </si>
  <si>
    <t>[SAVETYPE3TABLENAME]</t>
  </si>
  <si>
    <t>Workbook Options</t>
  </si>
  <si>
    <t>[RefreshFormsRunBehavior]</t>
  </si>
  <si>
    <t xml:space="preserve">    Primary Table</t>
  </si>
  <si>
    <t>[PREQUERYFILTER]</t>
  </si>
  <si>
    <t>[POSTQUERYFILTER]</t>
  </si>
  <si>
    <t>[MAXAQROWS]</t>
  </si>
  <si>
    <t>[TOPNAQROWS]</t>
  </si>
  <si>
    <t>[INSERTIONCONTROLCOL]</t>
  </si>
  <si>
    <t xml:space="preserve">   Calculation Methods</t>
  </si>
  <si>
    <t>Refresh during document processing</t>
  </si>
  <si>
    <t>[AQ2]</t>
  </si>
  <si>
    <t>KeyIP</t>
  </si>
  <si>
    <t>OP Driver</t>
  </si>
  <si>
    <t>LYA1</t>
  </si>
  <si>
    <t>Deductions &amp; Allowances</t>
  </si>
  <si>
    <t>Salaries</t>
  </si>
  <si>
    <t>Limit MultiPass iterations by this filter</t>
  </si>
  <si>
    <t>[FILEPROCESSING_SNAPSHOTFILETYPE]</t>
  </si>
  <si>
    <t>Output Filename</t>
  </si>
  <si>
    <t>Open Output File after Processing</t>
  </si>
  <si>
    <t>Printer</t>
  </si>
  <si>
    <t>M74:M75</t>
  </si>
  <si>
    <t>AQ1: Statistics</t>
  </si>
  <si>
    <t>IP Revenue</t>
  </si>
  <si>
    <t>YTD Actual / YTD Budget * Remainder of CYB</t>
  </si>
  <si>
    <t>DEPT.Manager</t>
  </si>
  <si>
    <t>Current Year</t>
  </si>
  <si>
    <t>Mthly_Fcst_Utility</t>
  </si>
  <si>
    <t>[MasterSheet]</t>
  </si>
  <si>
    <t>ColumnValue</t>
  </si>
  <si>
    <t>AQ4: Salaries</t>
  </si>
  <si>
    <t>Column Num:</t>
  </si>
  <si>
    <t>KeyIP:</t>
  </si>
  <si>
    <t>KeyOP:</t>
  </si>
  <si>
    <t>KeyOth:</t>
  </si>
  <si>
    <t>Enable Message Stream</t>
  </si>
  <si>
    <t>(advanced) Disable DocID During Zero</t>
  </si>
  <si>
    <t>[SAVETYPE3ENABLED]</t>
  </si>
  <si>
    <t>Freeze Panes (e.g. B5:D8)</t>
  </si>
  <si>
    <t>[ActiveCellOnOpen]</t>
  </si>
  <si>
    <t>[WHERE]</t>
  </si>
  <si>
    <t xml:space="preserve">    Limit query to top "n" results</t>
  </si>
  <si>
    <t>3:3</t>
  </si>
  <si>
    <t>[DEFAULTCM]</t>
  </si>
  <si>
    <t xml:space="preserve">    Control Rows and Columns</t>
  </si>
  <si>
    <t>Mth11</t>
  </si>
  <si>
    <t>Departmental Exceptions</t>
  </si>
  <si>
    <t>LYA5</t>
  </si>
  <si>
    <t>LYA9</t>
  </si>
  <si>
    <t>Actual Data vs Forecast</t>
  </si>
  <si>
    <t>PctBud</t>
  </si>
  <si>
    <t>Other Patient Revenue</t>
  </si>
  <si>
    <t>FILE PROCESSING CONTROL SHEET</t>
  </si>
  <si>
    <t>Screen Updating</t>
  </si>
  <si>
    <t>Apply MultiPass Data Filter to these Tabletypes</t>
  </si>
  <si>
    <t>Apply MultiPass Data Filter to these Tables</t>
  </si>
  <si>
    <t>Activate</t>
  </si>
  <si>
    <t>[FILEPROCESSING_SAVEDATASETTING]</t>
  </si>
  <si>
    <t>Save Data Mode</t>
  </si>
  <si>
    <t>[SAVEDATABATCH_SOURCEAQ]</t>
  </si>
  <si>
    <t>Print Settings</t>
  </si>
  <si>
    <t>Bcc</t>
  </si>
  <si>
    <t>RemBud</t>
  </si>
  <si>
    <t>TOT</t>
  </si>
  <si>
    <t>See Forecast Methods Below</t>
  </si>
  <si>
    <t>or see Forecast Methods Below</t>
  </si>
  <si>
    <t>Period</t>
  </si>
  <si>
    <t>Last Year -1</t>
  </si>
  <si>
    <t>Actual 12</t>
  </si>
  <si>
    <t>[IsRequired]</t>
  </si>
  <si>
    <t>[ProcessDefinitionID]</t>
  </si>
  <si>
    <t>M45</t>
  </si>
  <si>
    <t>A1:D5</t>
  </si>
  <si>
    <t>Control_Sheet</t>
  </si>
  <si>
    <t>[SAVETYPE4ENABLED]</t>
  </si>
  <si>
    <t>[ProcessAlertsOnSaveData]</t>
  </si>
  <si>
    <t>Sheet Protection On/Off</t>
  </si>
  <si>
    <t>Active Cell (selected on open)</t>
  </si>
  <si>
    <t>Data/Zero Options</t>
  </si>
  <si>
    <t>Refresh all Axiom functions on open</t>
  </si>
  <si>
    <t>Convert Axiom function results to zero on save</t>
  </si>
  <si>
    <t>[RefreshCSBetweenAQs]</t>
  </si>
  <si>
    <t>Enable full AQ query validation mode</t>
  </si>
  <si>
    <t>Name (used in Plan Refresh utility)</t>
  </si>
  <si>
    <t>[SUPPRESS]</t>
  </si>
  <si>
    <t>Control Rows and Columns</t>
  </si>
  <si>
    <t>Default Calc Method - plan files only</t>
  </si>
  <si>
    <t xml:space="preserve">       Conversion Scenario Override (overrides default setting from table)</t>
  </si>
  <si>
    <t>Other</t>
  </si>
  <si>
    <t>Global Driver</t>
  </si>
  <si>
    <t>CYB_TOT</t>
  </si>
  <si>
    <t>CYA11</t>
  </si>
  <si>
    <t>Inpatient Statistics</t>
  </si>
  <si>
    <t>Entity Exception:</t>
  </si>
  <si>
    <t>Variable</t>
  </si>
  <si>
    <t>IPRev</t>
  </si>
  <si>
    <t>Save Data Settings</t>
  </si>
  <si>
    <t>[PRINTER]</t>
  </si>
  <si>
    <t>System</t>
  </si>
  <si>
    <t>Save Results to Output Sheet</t>
  </si>
  <si>
    <t>Save Data</t>
  </si>
  <si>
    <t>.txt (period delimited)</t>
  </si>
  <si>
    <t>File Collect</t>
  </si>
  <si>
    <t>Key Dept Statistics</t>
  </si>
  <si>
    <t>Other Dept Statistics</t>
  </si>
  <si>
    <t>7</t>
  </si>
  <si>
    <t>Organization Name</t>
  </si>
  <si>
    <t>Month Ending Date</t>
  </si>
  <si>
    <t>FTE Factor</t>
  </si>
  <si>
    <t>Actual</t>
  </si>
  <si>
    <t>Budget Detail</t>
  </si>
  <si>
    <t>Payroll Tables</t>
  </si>
  <si>
    <t>Actual 27</t>
  </si>
  <si>
    <t>[ApplyRowViewsOnOpen]</t>
  </si>
  <si>
    <t>[SHEETCOLUMNVIEWS]</t>
  </si>
  <si>
    <t>Current Dynamic Row Views</t>
  </si>
  <si>
    <t>* Note: If making changes to this tab, save the report and then refresh again and save Dept data again!</t>
  </si>
  <si>
    <t>[IsEnabled]</t>
  </si>
  <si>
    <t>ENTITY.ENTITY</t>
  </si>
  <si>
    <t>Enable Drilling</t>
  </si>
  <si>
    <t>[CheckForTableDataChanged]</t>
  </si>
  <si>
    <t>[SheetControlColumn]</t>
  </si>
  <si>
    <t>[DateUpdated]</t>
  </si>
  <si>
    <t>Table Name for Save Type 3</t>
  </si>
  <si>
    <t>Table Folder for Save Type 3</t>
  </si>
  <si>
    <t>[SheetFilter4]</t>
  </si>
  <si>
    <t>[GROUPROWSBY]</t>
  </si>
  <si>
    <t>Insert Control Column with start/stop tag</t>
  </si>
  <si>
    <t>OR</t>
  </si>
  <si>
    <t>[REBUILD]</t>
  </si>
  <si>
    <t>Mth9</t>
  </si>
  <si>
    <t>CYA3</t>
  </si>
  <si>
    <t>CYA7</t>
  </si>
  <si>
    <t>CYB4</t>
  </si>
  <si>
    <t>CYB8</t>
  </si>
  <si>
    <t>LYA10</t>
  </si>
  <si>
    <t>Column Letter</t>
  </si>
  <si>
    <t>Inflation</t>
  </si>
  <si>
    <t>Hours Row:</t>
  </si>
  <si>
    <t>Benefits</t>
  </si>
  <si>
    <t>PaidHours</t>
  </si>
  <si>
    <t>General Settings</t>
  </si>
  <si>
    <t>[FILEPROCESSING_TYPE]</t>
  </si>
  <si>
    <t>Processing Type</t>
  </si>
  <si>
    <t>[FILEPROCESSING_MULTIPASSFILTERTABLETYPES]</t>
  </si>
  <si>
    <t>[FILEPROCESSING_INCLUDEHEADERS]</t>
  </si>
  <si>
    <t>[FILEPROCESSING_OUTPUTFILENAME]</t>
  </si>
  <si>
    <t>[FILEPROCESSING_OUTPUTSHEETNAME]</t>
  </si>
  <si>
    <t>[PRINT_VIEWS]</t>
  </si>
  <si>
    <t>[FILEPROCESSING_EMAILFROM]</t>
  </si>
  <si>
    <t>[FILEPROCESSING_EMAILSUBJECTLINE]</t>
  </si>
  <si>
    <t>Convert Axiom Formulas Only</t>
  </si>
  <si>
    <t>Create an Output File for Each Pass</t>
  </si>
  <si>
    <t>.txt (pipe delimited)</t>
  </si>
  <si>
    <t>Alerts</t>
  </si>
  <si>
    <t>By Table Type</t>
  </si>
  <si>
    <t>12</t>
  </si>
  <si>
    <t>FILTERS</t>
  </si>
  <si>
    <t>Next Year</t>
  </si>
  <si>
    <t>Forecast Table&gt;&gt;</t>
  </si>
  <si>
    <t>Master Sheet</t>
  </si>
  <si>
    <t>[ClearSelectedValueOnSave]</t>
  </si>
  <si>
    <t>Sheet Filter</t>
  </si>
  <si>
    <t>[DataLookupsToRunOnOpen]</t>
  </si>
  <si>
    <t>Refresh only if primary table changed since last refresh</t>
  </si>
  <si>
    <t>Data Context</t>
  </si>
  <si>
    <t>WorkbookSettings</t>
  </si>
  <si>
    <t>Save Type 1 Enabled</t>
  </si>
  <si>
    <t>Zero on save enabled</t>
  </si>
  <si>
    <t>(advanced) Custom ZeroTag Column</t>
  </si>
  <si>
    <t>[AssociatedTaskPane]</t>
  </si>
  <si>
    <t>[ZeroAQFormulasOnSave]</t>
  </si>
  <si>
    <t>[AQ1]</t>
  </si>
  <si>
    <t>Active</t>
  </si>
  <si>
    <t xml:space="preserve">    Post Query Sum By (advanced)</t>
  </si>
  <si>
    <t xml:space="preserve">    Insertion Behavior</t>
  </si>
  <si>
    <t>[USESPREADSHEETGROUPLINES]</t>
  </si>
  <si>
    <t>Field Definition Row(s)</t>
  </si>
  <si>
    <t>[AssignCMsExcelValueColumn]</t>
  </si>
  <si>
    <t xml:space="preserve">        In-Sheet Calc Method Column(s) - Horizontal AQ</t>
  </si>
  <si>
    <t>[REFRESHONMANUALREFRESH]</t>
  </si>
  <si>
    <t>[UPDATE]</t>
  </si>
  <si>
    <t>[INSERT]</t>
  </si>
  <si>
    <t>[CurConvType]</t>
  </si>
  <si>
    <t>KeyOth</t>
  </si>
  <si>
    <t>Default Entity Driver Assignments</t>
  </si>
  <si>
    <t>LYA2</t>
  </si>
  <si>
    <t>CYA</t>
  </si>
  <si>
    <t>Dept Exception:</t>
  </si>
  <si>
    <t>ACCT</t>
  </si>
  <si>
    <t>Driver</t>
  </si>
  <si>
    <t>YTD</t>
  </si>
  <si>
    <t>OtherExp</t>
  </si>
  <si>
    <t>Print Views</t>
  </si>
  <si>
    <t>Save and Email Files</t>
  </si>
  <si>
    <t>.txt (semicolon delimited)</t>
  </si>
  <si>
    <t>Labor</t>
  </si>
  <si>
    <t>STATISTICS</t>
  </si>
  <si>
    <t>Forecasts based on linear trend computed from rolling 12 months.</t>
  </si>
  <si>
    <t>SaveTagCustom</t>
  </si>
  <si>
    <t>NY</t>
  </si>
  <si>
    <t>File Processing Filter</t>
  </si>
  <si>
    <t>[RefreshVariables]</t>
  </si>
  <si>
    <t>[csversion]</t>
  </si>
  <si>
    <t>Refresh the Report Data on 'Mthly_Fcst_Utility' tab - Select "Refresh Data" on the KH Main ribbon</t>
  </si>
  <si>
    <t>[DataContext]</t>
  </si>
  <si>
    <t>Date added</t>
  </si>
  <si>
    <t>Save To Database Setup</t>
  </si>
  <si>
    <t>[WorkbookProtection]</t>
  </si>
  <si>
    <t>Workbook Protection On/Off</t>
  </si>
  <si>
    <t>Sheet Visible/ Hidden</t>
  </si>
  <si>
    <t>Sheet Filters</t>
  </si>
  <si>
    <t>Table or Table Type</t>
  </si>
  <si>
    <t xml:space="preserve">    Sum data by these columns (e.g. Table.field;Table.field)</t>
  </si>
  <si>
    <t xml:space="preserve">    Post Query Filter (advanced)</t>
  </si>
  <si>
    <t>Display / User Interaction Options</t>
  </si>
  <si>
    <t>[FIELDDEFINITIONROWS]</t>
  </si>
  <si>
    <t>In-Sheet Calc Method Row(s) - Vertical AQ</t>
  </si>
  <si>
    <t xml:space="preserve">        Field Definition Column(s)</t>
  </si>
  <si>
    <t>[INSERTIONCONTROLROW]</t>
  </si>
  <si>
    <t>Refresh on manual refresh</t>
  </si>
  <si>
    <t>6:6</t>
  </si>
  <si>
    <t>Configuration</t>
  </si>
  <si>
    <t>Entity</t>
  </si>
  <si>
    <t>Mth12</t>
  </si>
  <si>
    <t>CYB_YTD</t>
  </si>
  <si>
    <t>LYA6</t>
  </si>
  <si>
    <t>Entity:</t>
  </si>
  <si>
    <t>Multi Pass AQ</t>
  </si>
  <si>
    <t>Delimiter and File Type</t>
  </si>
  <si>
    <t>[FILEPROCESSING_OUTPUTFOLDER]</t>
  </si>
  <si>
    <t>Save Data at End of Processing</t>
  </si>
  <si>
    <t>Batch Variables</t>
  </si>
  <si>
    <t>.xls</t>
  </si>
  <si>
    <t>CYFMethod</t>
  </si>
  <si>
    <t>SALARIES</t>
  </si>
  <si>
    <t>Remaining Budget Not to exceed the annual budget</t>
  </si>
  <si>
    <t>[AQ5]</t>
  </si>
  <si>
    <t>[FILEPROCESSING_USECACHEDSETTINGS]</t>
  </si>
  <si>
    <t>Activate sheet on open</t>
  </si>
  <si>
    <t>Select Entity:</t>
  </si>
  <si>
    <t>[SHOWGRIDLINES]</t>
  </si>
  <si>
    <t>[AqBatchNumber]</t>
  </si>
  <si>
    <t>Data Context Description</t>
  </si>
  <si>
    <t>Is Data Context Checked Out</t>
  </si>
  <si>
    <t xml:space="preserve">    Batch Number (leave blank to use normal AQ processing)</t>
  </si>
  <si>
    <t>Save Type 3 Enabled</t>
  </si>
  <si>
    <t>[WorkbookProtectionInSnapshot]</t>
  </si>
  <si>
    <t>[WorkbookRestrictedToReadOnly]</t>
  </si>
  <si>
    <t>[SHEETFREEZE]</t>
  </si>
  <si>
    <t>On</t>
  </si>
  <si>
    <t>[EXCELSORT]</t>
  </si>
  <si>
    <t>[ISHORIZONTALINSERT]</t>
  </si>
  <si>
    <t>Vertical Configuration</t>
  </si>
  <si>
    <t xml:space="preserve">   Insert new records</t>
  </si>
  <si>
    <t xml:space="preserve">       Conversion Type Override (overrides default setting from table)</t>
  </si>
  <si>
    <t>the Sheet Assistant to add more)</t>
  </si>
  <si>
    <t>CYB10</t>
  </si>
  <si>
    <t>OthPtRev</t>
  </si>
  <si>
    <t>Snapshot File</t>
  </si>
  <si>
    <t>[SetRow;Autofit]</t>
  </si>
  <si>
    <t>MultiPass Settings</t>
  </si>
  <si>
    <t>[FILEPROCESSING_MULTIPASSFILTERTABLES]</t>
  </si>
  <si>
    <t>[FILEPROCESSING_EXPORTFILETYPE]</t>
  </si>
  <si>
    <t>[FILEPROCESSING_OUTPUTFILECONTEXT]</t>
  </si>
  <si>
    <t xml:space="preserve">Save or Email Generated Files </t>
  </si>
  <si>
    <t>Create a Single Output File</t>
  </si>
  <si>
    <t>From</t>
  </si>
  <si>
    <t>G74:G79</t>
  </si>
  <si>
    <t>Email Files</t>
  </si>
  <si>
    <t>.txt (space delimited)</t>
  </si>
  <si>
    <t>Current User</t>
  </si>
  <si>
    <t>String</t>
  </si>
  <si>
    <t>Remaining Budget from CYB</t>
  </si>
  <si>
    <t>8</t>
  </si>
  <si>
    <t>Freeze Pane (Variables sheet)</t>
  </si>
  <si>
    <t>InitiativeID</t>
  </si>
  <si>
    <t>Instructions</t>
  </si>
  <si>
    <t>* See the Report Tips ribbon button above for additional help</t>
  </si>
  <si>
    <t>[SHOWVIEWHEADERS]</t>
  </si>
  <si>
    <t>Control_FileProcessing</t>
  </si>
  <si>
    <t>[AllowMultiSelect]</t>
  </si>
  <si>
    <t>[Variable]</t>
  </si>
  <si>
    <t>Show row and column headings</t>
  </si>
  <si>
    <t>[RefreshTimestamp]</t>
  </si>
  <si>
    <t>[ZEROONSAVEENABLED]</t>
  </si>
  <si>
    <t>Save Type 4 Enabled</t>
  </si>
  <si>
    <t>Workbook Protection On/Off during snapshot</t>
  </si>
  <si>
    <t>Filter</t>
  </si>
  <si>
    <t>[SheetFilter3]</t>
  </si>
  <si>
    <t>Query Details</t>
  </si>
  <si>
    <t>[DATASORT]</t>
  </si>
  <si>
    <t xml:space="preserve">    Limit query data based on another table (advanced)</t>
  </si>
  <si>
    <t>Calculation Methods</t>
  </si>
  <si>
    <t>Assign from Sheet - plan files only</t>
  </si>
  <si>
    <t>Horizontal Configuration</t>
  </si>
  <si>
    <t>Purpose</t>
  </si>
  <si>
    <t>See "Forecast Methods" tab for further information</t>
  </si>
  <si>
    <t>Mth2</t>
  </si>
  <si>
    <t>Mth6</t>
  </si>
  <si>
    <t>CYA4</t>
  </si>
  <si>
    <t>CYA8</t>
  </si>
  <si>
    <t>CYA12</t>
  </si>
  <si>
    <t>CYB1</t>
  </si>
  <si>
    <t>CYB5</t>
  </si>
  <si>
    <t>LYA11</t>
  </si>
  <si>
    <t>Sequential Month</t>
  </si>
  <si>
    <t>Other Statistics</t>
  </si>
  <si>
    <t>[FILEPROCESSING_VERSION]</t>
  </si>
  <si>
    <t>[FILEPROCESSING_SOURCECOLUMNS]</t>
  </si>
  <si>
    <t>[FILEPROCESSING_OPENOUTPUTFILE]</t>
  </si>
  <si>
    <t>Batch Mode Source Sheet</t>
  </si>
  <si>
    <t>[FILEPROCESSING_VARIABLEVALUES]</t>
  </si>
  <si>
    <t>J74:J81</t>
  </si>
  <si>
    <t>Batch</t>
  </si>
  <si>
    <t>Rolling12</t>
  </si>
  <si>
    <t>Actual Hourly Rate * Forecast Hours</t>
  </si>
  <si>
    <t>[HideRow]</t>
  </si>
  <si>
    <t>Current</t>
  </si>
  <si>
    <t>CALENDAR</t>
  </si>
  <si>
    <t>Provider Tables</t>
  </si>
  <si>
    <t>[SelectedValue]</t>
  </si>
  <si>
    <t>Filters</t>
  </si>
  <si>
    <t>Last refresh time</t>
  </si>
  <si>
    <t>Process alerts on save data</t>
  </si>
  <si>
    <t xml:space="preserve">       Conversion Target (e.g. USD)</t>
  </si>
  <si>
    <t xml:space="preserve">   Rebuild Data Ranges</t>
  </si>
  <si>
    <t>Default</t>
  </si>
  <si>
    <t>CYB9</t>
  </si>
  <si>
    <t>CYF Method Group</t>
  </si>
  <si>
    <t>Forecast</t>
  </si>
  <si>
    <t>Total</t>
  </si>
  <si>
    <t>Other Expenses</t>
  </si>
  <si>
    <t>Paid Hours</t>
  </si>
  <si>
    <t>Processing Enabled</t>
  </si>
  <si>
    <t>[FILEPROCESSING_SHEETSTOPROCESS]</t>
  </si>
  <si>
    <t>[FILEPROCESSING_OUTPUTFILEPARTITIONING]</t>
  </si>
  <si>
    <t>[FILEPROCESSING_EMAILBODYTEXT]</t>
  </si>
  <si>
    <t>Variable Values</t>
  </si>
  <si>
    <t>F74:F76</t>
  </si>
  <si>
    <t>H74:H75</t>
  </si>
  <si>
    <t>Export to Delimited Text File</t>
  </si>
  <si>
    <t>.txt (tab delimited)</t>
  </si>
  <si>
    <t>CYB</t>
  </si>
  <si>
    <t>All Other Expense Accounts</t>
  </si>
  <si>
    <t>Straight Line</t>
  </si>
  <si>
    <t>Current Month 1</t>
  </si>
  <si>
    <t>Actual Detail</t>
  </si>
  <si>
    <t>Close read-only files without prompting to save</t>
  </si>
  <si>
    <t>Initial Dynamic Row Views (view on open)</t>
  </si>
  <si>
    <t>False</t>
  </si>
  <si>
    <t>ACCT.BudgetType IN ('Deduction', 'OtherRev')</t>
  </si>
  <si>
    <t>Default Row:</t>
  </si>
  <si>
    <t>[EnableMessageStream]</t>
  </si>
  <si>
    <t>[ENABLEDRILLING]</t>
  </si>
  <si>
    <t>[REFRESHONPROCESSTEMPLATE]</t>
  </si>
  <si>
    <t>Show Gridlines</t>
  </si>
  <si>
    <t>Refresh during template processing</t>
  </si>
  <si>
    <t>(advanced) ZeroTag Value</t>
  </si>
  <si>
    <t>[SAVETYPE3FOLDERPATH]</t>
  </si>
  <si>
    <t>Downgrade to read-only on open</t>
  </si>
  <si>
    <t>[SHEETHIDE]</t>
  </si>
  <si>
    <t>[SHEETPROTECTINSNAPSHOT]</t>
  </si>
  <si>
    <t>Current Dynamic View</t>
  </si>
  <si>
    <t>[AQPARSEALLSUBRANGES]</t>
  </si>
  <si>
    <t>Sheet Filter Type</t>
  </si>
  <si>
    <t xml:space="preserve">    Data Filter</t>
  </si>
  <si>
    <t>[INSERTIONMETHODOLOGY]</t>
  </si>
  <si>
    <t>[Drillable]</t>
  </si>
  <si>
    <t>[DATACONTROLCOLUMN]</t>
  </si>
  <si>
    <t>[ASSIGNCMS]</t>
  </si>
  <si>
    <t>[AssignCMsExcelAQKeyColumn]</t>
  </si>
  <si>
    <t>Refresh after save data</t>
  </si>
  <si>
    <t>[ZERO]</t>
  </si>
  <si>
    <t>5:5</t>
  </si>
  <si>
    <t>Assign default Forecasting Methods in the Acct Dimension (CYFMethod)</t>
  </si>
  <si>
    <t>Description</t>
  </si>
  <si>
    <t>KeyOP</t>
  </si>
  <si>
    <t>Dept</t>
  </si>
  <si>
    <t>LYA3</t>
  </si>
  <si>
    <t>LYA7</t>
  </si>
  <si>
    <t>Current Period</t>
  </si>
  <si>
    <t>Key Statistics</t>
  </si>
  <si>
    <t>Total Paid FTEs</t>
  </si>
  <si>
    <t>[FILEPROCESSING_ENABLED]</t>
  </si>
  <si>
    <t>[FILEPROCESSING_EMAILBCCLIST]</t>
  </si>
  <si>
    <t>Calculation</t>
  </si>
  <si>
    <t>REVENUE</t>
  </si>
  <si>
    <t>[AQ4]</t>
  </si>
  <si>
    <t>Quick Filter</t>
  </si>
  <si>
    <t>Financial Tables</t>
  </si>
  <si>
    <t>Budget 12</t>
  </si>
  <si>
    <t>Flex Tables</t>
  </si>
  <si>
    <t>Flex</t>
  </si>
  <si>
    <t>[ApplyColumnViewsOnOpen]</t>
  </si>
  <si>
    <t>[SHEETROWVIEWS]</t>
  </si>
  <si>
    <t>Hidden</t>
  </si>
  <si>
    <t xml:space="preserve">    Process Definition ID</t>
  </si>
  <si>
    <t>[HideControlSheetOnOpen]</t>
  </si>
  <si>
    <t>[DEFAULTZOOM]</t>
  </si>
  <si>
    <t>Control_Sheet version</t>
  </si>
  <si>
    <t>[SHEETPROTECT]</t>
  </si>
  <si>
    <t>[SHEETVIEW]</t>
  </si>
  <si>
    <t>[AXIOMDOUBLECLICK]</t>
  </si>
  <si>
    <t>Axiom Double-Click</t>
  </si>
  <si>
    <t xml:space="preserve">    Sort results by these columns (e.g. C asc;D desc)</t>
  </si>
  <si>
    <t xml:space="preserve">    Suppress records with zero values</t>
  </si>
  <si>
    <t>[REFRESHONOPEN]</t>
  </si>
  <si>
    <t>[REFRESHBEFOREMULTIPASS]</t>
  </si>
  <si>
    <t>Forecast Methods</t>
  </si>
  <si>
    <t>IP Driver</t>
  </si>
  <si>
    <t>CYA1</t>
  </si>
  <si>
    <t>Outpatient Statistics</t>
  </si>
  <si>
    <t>Trend</t>
  </si>
  <si>
    <t>Type</t>
  </si>
  <si>
    <t>OPRev</t>
  </si>
  <si>
    <t>Other Operating Revenue</t>
  </si>
  <si>
    <t>Deduction</t>
  </si>
  <si>
    <t>Supplies</t>
  </si>
  <si>
    <t>Excess Revenues Over Expenses from Operations</t>
  </si>
  <si>
    <t>Multipass Columns and Current Value Defaults</t>
  </si>
  <si>
    <t>[FILEPROCESSING_SINGLEPASSVALUES]</t>
  </si>
  <si>
    <t>.xlsx</t>
  </si>
  <si>
    <t>Save Files</t>
  </si>
  <si>
    <t>[SAVEDATABATCH_BATCHSIZE]</t>
  </si>
  <si>
    <t>Distribution List</t>
  </si>
  <si>
    <t>Annual</t>
  </si>
  <si>
    <t>OP Revenue</t>
  </si>
  <si>
    <t>YTD / Calendar Days * Remaining Calendar Days</t>
  </si>
  <si>
    <t>YTD Actual / YTD LYA * Remainder of LYA</t>
  </si>
  <si>
    <t>9</t>
  </si>
  <si>
    <t>Report Variables</t>
  </si>
  <si>
    <t>BudFPOutputRep</t>
  </si>
  <si>
    <t>Budget 27</t>
  </si>
  <si>
    <t>RU Tables</t>
  </si>
  <si>
    <t>[MasterSheets]</t>
  </si>
  <si>
    <t>Monthly Forecast Utility</t>
  </si>
  <si>
    <t>[ShowRowAndColumnHeadings]</t>
  </si>
  <si>
    <t>DataLookups to run</t>
  </si>
  <si>
    <t>IP_Per_Unit</t>
  </si>
  <si>
    <t>Control Sheet Version Information</t>
  </si>
  <si>
    <t>Date updated</t>
  </si>
  <si>
    <t>Off</t>
  </si>
  <si>
    <t>[ZEROTAGVALUE]</t>
  </si>
  <si>
    <t>Associated Task Pane</t>
  </si>
  <si>
    <t>Sheet Options</t>
  </si>
  <si>
    <t>Visible</t>
  </si>
  <si>
    <t>Sheet Protection On/Off during snapshot</t>
  </si>
  <si>
    <t>[SheetFilter2]</t>
  </si>
  <si>
    <t>[NAME]</t>
  </si>
  <si>
    <t xml:space="preserve">    Sort by database columns (e.g. Table.field asc;Table.field desc)</t>
  </si>
  <si>
    <t xml:space="preserve">    Change orientation to horizontal</t>
  </si>
  <si>
    <t>A</t>
  </si>
  <si>
    <t>Sheet Name</t>
  </si>
  <si>
    <t>Key column in sheet</t>
  </si>
  <si>
    <t>Refresh on file open</t>
  </si>
  <si>
    <t>Refresh once before multipass processing (advanced)</t>
  </si>
  <si>
    <t>Code</t>
  </si>
  <si>
    <t>Mth7</t>
  </si>
  <si>
    <t>CYA5</t>
  </si>
  <si>
    <t>CYA9</t>
  </si>
  <si>
    <t>CYB2</t>
  </si>
  <si>
    <t>CYB6</t>
  </si>
  <si>
    <t>CYB11</t>
  </si>
  <si>
    <t>LYA12</t>
  </si>
  <si>
    <t>Budget</t>
  </si>
  <si>
    <t>Inpatient Revenue</t>
  </si>
  <si>
    <t>Expense</t>
  </si>
  <si>
    <t>Source Columns</t>
  </si>
  <si>
    <t>[FILEPROCESSING_SCREENUPDATING]</t>
  </si>
  <si>
    <t>Formula Conversion</t>
  </si>
  <si>
    <t>[SAVEDATABATCH_SOURCESHEET]</t>
  </si>
  <si>
    <t>Batch Mode Batch Size</t>
  </si>
  <si>
    <t>[FILEPROCESSING_EMAILDISTRIBUTIONLIST]</t>
  </si>
  <si>
    <t>E74:E77</t>
  </si>
  <si>
    <t>Hours</t>
  </si>
  <si>
    <t>Variable = YTD OP Per Unit * Forecasted Volume</t>
  </si>
  <si>
    <t>Current Year Budget</t>
  </si>
  <si>
    <t>=</t>
  </si>
  <si>
    <t>AQ2: Revenue</t>
  </si>
  <si>
    <t>10</t>
  </si>
  <si>
    <t>Financial</t>
  </si>
  <si>
    <t>Worked Days</t>
  </si>
  <si>
    <t>Running Multi Pass?</t>
  </si>
  <si>
    <t>Initial Dynamic Column Views (view on open)</t>
  </si>
  <si>
    <t>Forecast Year&gt;&gt;</t>
  </si>
  <si>
    <t>Variables</t>
  </si>
  <si>
    <t>[VariableType]</t>
  </si>
  <si>
    <t>[DependsOn]</t>
  </si>
  <si>
    <t>ACCT.BudgetType IN ('IPRev', 'OPRev', 'OthPtRev')</t>
  </si>
  <si>
    <t>File Processing Current Value</t>
  </si>
  <si>
    <t>[DISABLEDOCIDDURINGZERO]</t>
  </si>
  <si>
    <t>[ProcessAlertsOnSaveDocument]</t>
  </si>
  <si>
    <t>[RefreshDataFormulasOnOpen]</t>
  </si>
  <si>
    <t>[TABLES]</t>
  </si>
  <si>
    <t>[POSTQUERYGROUPBY]</t>
  </si>
  <si>
    <t>AND / OR</t>
  </si>
  <si>
    <t>[AssignCMsExcelKeyColumn]</t>
  </si>
  <si>
    <t>[REFRESHONPROCESSDOCUMENT]</t>
  </si>
  <si>
    <t xml:space="preserve">   Zero data before update</t>
  </si>
  <si>
    <t>Data Conversion</t>
  </si>
  <si>
    <t>[CurConvTarget]</t>
  </si>
  <si>
    <t>Rate</t>
  </si>
  <si>
    <t>Total Expenses</t>
  </si>
  <si>
    <t>Snapshot File Type</t>
  </si>
  <si>
    <t>Export to Text File Settings</t>
  </si>
  <si>
    <t>File Settings</t>
  </si>
  <si>
    <t>[Current_Value]_[Current_SheetName]</t>
  </si>
  <si>
    <t>[FILEPROCESSING_VARIABLENAMES]</t>
  </si>
  <si>
    <t>LYA</t>
  </si>
  <si>
    <t>See Forecast Methods Below (Normally use Trend)</t>
  </si>
  <si>
    <t>Budget Weighted Trend</t>
  </si>
  <si>
    <t>CapBud</t>
  </si>
  <si>
    <t>LY</t>
  </si>
  <si>
    <t>File Processing Table</t>
  </si>
  <si>
    <t>Last Year</t>
  </si>
  <si>
    <t>Views</t>
  </si>
  <si>
    <t>[ColumnName]</t>
  </si>
  <si>
    <t>[AdditionalColumns]</t>
  </si>
  <si>
    <t>Forecast_Methods</t>
  </si>
  <si>
    <t>ACCT.BudgetType IN ('Salaries')</t>
  </si>
  <si>
    <t>[DataLookupsToRun]</t>
  </si>
  <si>
    <t>OP_Per_Unit</t>
  </si>
  <si>
    <t>Oth_Per_Unit</t>
  </si>
  <si>
    <t>[DataContextDescription]</t>
  </si>
  <si>
    <t>[IsDataContextCheckedOut]</t>
  </si>
  <si>
    <t>[ApplyViewOnOpen]</t>
  </si>
  <si>
    <t>[ZeroDataFormulasOnSave]</t>
  </si>
  <si>
    <t>Refresh Control Sheet between every AQ</t>
  </si>
  <si>
    <t>Convert Axiom Query results to zero on save</t>
  </si>
  <si>
    <t>[ACTIVATE]</t>
  </si>
  <si>
    <t xml:space="preserve">    Apply grouping to data ranges</t>
  </si>
  <si>
    <t>[INSHEETCMROWS]</t>
  </si>
  <si>
    <t>4:4</t>
  </si>
  <si>
    <t>Assign from data field (table.field) - plan files only</t>
  </si>
  <si>
    <t>Key column name (e.g. Acct)</t>
  </si>
  <si>
    <t>[FIELDDEFINITIONCOLUMNS]</t>
  </si>
  <si>
    <t>[INSHEETCMCOLUMNS]</t>
  </si>
  <si>
    <t>Refresh behavior</t>
  </si>
  <si>
    <t>[CurConvScenario]</t>
  </si>
  <si>
    <t>Mth10</t>
  </si>
  <si>
    <t>Stat Driver</t>
  </si>
  <si>
    <t>LYA4</t>
  </si>
  <si>
    <t>LYA8</t>
  </si>
  <si>
    <t>CYA YTD</t>
  </si>
  <si>
    <t>Outpatient Revenue</t>
  </si>
  <si>
    <t>Sum data by these columns</t>
  </si>
  <si>
    <t>Snapshot Settings</t>
  </si>
  <si>
    <t>Output to Local File System or Axiom Repository</t>
  </si>
  <si>
    <t>Local File System</t>
  </si>
  <si>
    <t>Output Folder</t>
  </si>
  <si>
    <t>[Current_Value]_Report</t>
  </si>
  <si>
    <t>[FILEPROCESSING_OUTPUTFILEDISSEMINATION]</t>
  </si>
  <si>
    <t>Multipass File Generation Mode</t>
  </si>
  <si>
    <t>K74:K75</t>
  </si>
  <si>
    <t>Save Data After Each Pass</t>
  </si>
  <si>
    <t>.xlsm</t>
  </si>
  <si>
    <t>.txt (colon delimited)</t>
  </si>
  <si>
    <t>OTHER EXPENSES</t>
  </si>
  <si>
    <t>Historical Weighting Trend</t>
  </si>
  <si>
    <t>[AQ3]</t>
  </si>
  <si>
    <t>AQ3: Oth Rev/Ded</t>
  </si>
  <si>
    <t>Current Month 2</t>
  </si>
  <si>
    <t>File Processing Column</t>
  </si>
  <si>
    <t>Dynamic Title</t>
  </si>
  <si>
    <t>[HideColumn]</t>
  </si>
  <si>
    <t>[ActivateSheetOnOpen]</t>
  </si>
  <si>
    <t>[DisableQuickFilter]</t>
  </si>
  <si>
    <t>Master Sheets</t>
  </si>
  <si>
    <t>[Name]</t>
  </si>
  <si>
    <t>[ColumnFilter]</t>
  </si>
  <si>
    <t>[ZEROTAGCOLUMNNAME]</t>
  </si>
  <si>
    <t>Process alerts on save document</t>
  </si>
  <si>
    <t>Insert</t>
  </si>
  <si>
    <t xml:space="preserve">    Drillable</t>
  </si>
  <si>
    <t>Internal Data Control Column</t>
  </si>
  <si>
    <t>[AssignCMsExcelSheetName]</t>
  </si>
  <si>
    <t>CM Assignment column in sheet</t>
  </si>
  <si>
    <t xml:space="preserve">        Insert Control Row with [AQ1]</t>
  </si>
  <si>
    <t>[REFRESHAFTERSAVEDATA]</t>
  </si>
  <si>
    <t>LYA_YTD</t>
  </si>
  <si>
    <t>CYA10</t>
  </si>
  <si>
    <t>Calendar Days</t>
  </si>
  <si>
    <t>Revenues</t>
  </si>
  <si>
    <t>OtherRev</t>
  </si>
  <si>
    <t>Expenses</t>
  </si>
  <si>
    <t>Primary Table</t>
  </si>
  <si>
    <t>[FILEPROCESSING_CONVERTFORMULAS]</t>
  </si>
  <si>
    <t>Convert All Formulas</t>
  </si>
  <si>
    <t>.csv</t>
  </si>
  <si>
    <t>Include Headers</t>
  </si>
  <si>
    <t>Output Sheet Name</t>
  </si>
  <si>
    <t>Subject Line</t>
  </si>
  <si>
    <t>Body Text</t>
  </si>
  <si>
    <t>Variable Names</t>
  </si>
  <si>
    <t>I74:I76</t>
  </si>
  <si>
    <t>.pdf</t>
  </si>
  <si>
    <t>CY</t>
  </si>
  <si>
    <t>Text for Current Period</t>
  </si>
  <si>
    <t>BudFPOutputLoc</t>
  </si>
  <si>
    <t>Current Year Forecast</t>
  </si>
  <si>
    <t>[CloseROWorkbookWithoutSavePrompt]</t>
  </si>
  <si>
    <t>Show View Headers in Menu</t>
  </si>
  <si>
    <t>[PlaceHolderText]</t>
  </si>
  <si>
    <t>[ListChoices]</t>
  </si>
  <si>
    <t>True</t>
  </si>
  <si>
    <t>No</t>
  </si>
  <si>
    <t>[ClearDataLookupsOnSave]</t>
  </si>
  <si>
    <t>Hide Control Sheet on open</t>
  </si>
  <si>
    <t>Custom Save Tag</t>
  </si>
  <si>
    <t>This is a custom report and is not designed to work with Quick Filter</t>
  </si>
  <si>
    <t>ACCT.BudgetType IN ('KeyIP', 'KeyOP', 'KeyOth','OthStat')</t>
  </si>
  <si>
    <t>OnManualRefreshOnly</t>
  </si>
  <si>
    <t>[ProcessCrossSheetBatches]</t>
  </si>
  <si>
    <t>Process cross sheet AQ Batches</t>
  </si>
  <si>
    <t>[EnableParallelSave]</t>
  </si>
  <si>
    <t>Enable parallel save data</t>
  </si>
  <si>
    <t>[AdditionalTableDependencies]</t>
  </si>
  <si>
    <t>Additional table dependencies</t>
  </si>
  <si>
    <t>Previous Month Ratio</t>
  </si>
  <si>
    <t>MthBud</t>
  </si>
  <si>
    <t>AQ1-Statistics</t>
  </si>
  <si>
    <t>AQ4-Salaries</t>
  </si>
  <si>
    <t>AQ3-OthRev+Ded</t>
  </si>
  <si>
    <t>AQ2-GrossRev</t>
  </si>
  <si>
    <t>CYA_CUR</t>
  </si>
  <si>
    <t>CYB_CUR</t>
  </si>
  <si>
    <t>NoFcst</t>
  </si>
  <si>
    <t>No Forecast</t>
  </si>
  <si>
    <t>[Stop]</t>
  </si>
  <si>
    <t>Driver driven</t>
  </si>
  <si>
    <t>PctSalYTD</t>
  </si>
  <si>
    <t>Percent of Salaries - YTD</t>
  </si>
  <si>
    <t>Percent of Salaries - CY Budget</t>
  </si>
  <si>
    <t>FTERateYTD</t>
  </si>
  <si>
    <t>FTERateBud</t>
  </si>
  <si>
    <t>PctSalBud</t>
  </si>
  <si>
    <t>Rate per FTE - YTD</t>
  </si>
  <si>
    <t>Rate per FTE - CY Budget</t>
  </si>
  <si>
    <t>[AQ6]</t>
  </si>
  <si>
    <t>AQ5: Benefits</t>
  </si>
  <si>
    <t>ACCT.BudgetType IN ('Benefits')</t>
  </si>
  <si>
    <t>AQ5-Benefits</t>
  </si>
  <si>
    <t>AQ6-Expense+Hours</t>
  </si>
  <si>
    <t>13</t>
  </si>
  <si>
    <t>14</t>
  </si>
  <si>
    <t>ACCT.BudgetType IN ('Supplies', 'OtherExp', 'PaidHours')</t>
  </si>
  <si>
    <t>AQ6: Other Exp, Paid Hours</t>
  </si>
  <si>
    <t>YTD Actual Rate per Unit * Forecast Volume</t>
  </si>
  <si>
    <t>VariableMth</t>
  </si>
  <si>
    <t>Current Month Actual Rate per Unit * Forecast Volume</t>
  </si>
  <si>
    <t>Variable-Current Month</t>
  </si>
  <si>
    <t>Current Month Actual / Current Month Budget * Remainder of CYB</t>
  </si>
  <si>
    <t>Remaining Months set to Zero</t>
  </si>
  <si>
    <t>Driven by volume driver</t>
  </si>
  <si>
    <t>YTD Rate per FTE * Forecast FTE</t>
  </si>
  <si>
    <t>Budget Rate per FTE * Forecast FTEs by month</t>
  </si>
  <si>
    <t>YTD Percent of Salaries * Forecast Salaries</t>
  </si>
  <si>
    <t>Budget percent of salaries * Forecast salaries by month</t>
  </si>
  <si>
    <t>Month</t>
  </si>
  <si>
    <t>Total Salaries</t>
  </si>
  <si>
    <t>Total Hours</t>
  </si>
  <si>
    <t>Forecast Method&gt;&gt;</t>
  </si>
  <si>
    <t>FSDetail</t>
  </si>
  <si>
    <t>E_Salaries</t>
  </si>
  <si>
    <t>Department</t>
  </si>
  <si>
    <t>F42:K49</t>
  </si>
  <si>
    <t>ACCT.Statement.STATEMENT NOT IN ('BS', 'CM', 'NA', 'NI', 'SCA')</t>
  </si>
  <si>
    <t>IP Volume</t>
  </si>
  <si>
    <t>OP Volume</t>
  </si>
  <si>
    <t>Other Volume</t>
  </si>
  <si>
    <t>Entity Driver</t>
  </si>
  <si>
    <t>Rate for</t>
  </si>
  <si>
    <t>Calculations</t>
  </si>
  <si>
    <t>Basis Rate</t>
  </si>
  <si>
    <t>Rate_1Mo</t>
  </si>
  <si>
    <t>Rate_YTD</t>
  </si>
  <si>
    <t>Rate_3Mo</t>
  </si>
  <si>
    <t>Last</t>
  </si>
  <si>
    <t>3 Periods</t>
  </si>
  <si>
    <t>Trend1</t>
  </si>
  <si>
    <t>Trend2</t>
  </si>
  <si>
    <t>Trend3</t>
  </si>
  <si>
    <t>Trend4</t>
  </si>
  <si>
    <t>Trend5</t>
  </si>
  <si>
    <t>Trend6</t>
  </si>
  <si>
    <t>Trend7</t>
  </si>
  <si>
    <t>Trend8</t>
  </si>
  <si>
    <t>Trend9</t>
  </si>
  <si>
    <t>Trend10</t>
  </si>
  <si>
    <t>Trend11</t>
  </si>
  <si>
    <t>Trend12</t>
  </si>
  <si>
    <t>CYFDriver</t>
  </si>
  <si>
    <t>CYFDriver1</t>
  </si>
  <si>
    <t>CYFDriver2</t>
  </si>
  <si>
    <t>CYFDriver3</t>
  </si>
  <si>
    <t>CYFDriver4</t>
  </si>
  <si>
    <t>CYFDriver5</t>
  </si>
  <si>
    <t>CYFDriver6</t>
  </si>
  <si>
    <t>CYFDriver7</t>
  </si>
  <si>
    <t>CYFDriver8</t>
  </si>
  <si>
    <t>CYFDriver9</t>
  </si>
  <si>
    <t>CYFDriver10</t>
  </si>
  <si>
    <t>CYFDriver11</t>
  </si>
  <si>
    <t>CYFDriver12</t>
  </si>
  <si>
    <t>Rate_Bud</t>
  </si>
  <si>
    <t>Column Number on CYFDriver:</t>
  </si>
  <si>
    <t>Basis</t>
  </si>
  <si>
    <t>ACCT.BudgetType;ACCT.RptMap;DEPT.RptMap</t>
  </si>
  <si>
    <t>1Mo</t>
  </si>
  <si>
    <t>3Mo</t>
  </si>
  <si>
    <t>Bud</t>
  </si>
  <si>
    <t>Code==&gt;&gt;</t>
  </si>
  <si>
    <t>3MO</t>
  </si>
  <si>
    <t>CYF</t>
  </si>
  <si>
    <t>AO</t>
  </si>
  <si>
    <t>Column Reference</t>
  </si>
  <si>
    <t>Other Revenue</t>
  </si>
  <si>
    <t>S_KeyIP</t>
  </si>
  <si>
    <t>S_KeyOP</t>
  </si>
  <si>
    <t>OthStat</t>
  </si>
  <si>
    <t>Base1</t>
  </si>
  <si>
    <t>Base2</t>
  </si>
  <si>
    <t>Base3</t>
  </si>
  <si>
    <t>Base4</t>
  </si>
  <si>
    <t>Base5</t>
  </si>
  <si>
    <t>Base6</t>
  </si>
  <si>
    <t>Base7</t>
  </si>
  <si>
    <t>Base8</t>
  </si>
  <si>
    <t>Base9</t>
  </si>
  <si>
    <t>Base10</t>
  </si>
  <si>
    <t>Base11</t>
  </si>
  <si>
    <t>Base12</t>
  </si>
  <si>
    <t>Driver Table from CYFDriver tab&gt;&gt;</t>
  </si>
  <si>
    <t>S_KeyOth</t>
  </si>
  <si>
    <t>Driver Assumptions</t>
  </si>
  <si>
    <t>Forecast Drivers</t>
  </si>
  <si>
    <t>Key IP Volume</t>
  </si>
  <si>
    <t>Key OP Volume</t>
  </si>
  <si>
    <t>Key Other Volume</t>
  </si>
  <si>
    <t>R_IPRev</t>
  </si>
  <si>
    <t>E_MedSupplies</t>
  </si>
  <si>
    <t>Mth1</t>
  </si>
  <si>
    <t>Mth3</t>
  </si>
  <si>
    <t>Mth5</t>
  </si>
  <si>
    <t>IP Gross Revenue</t>
  </si>
  <si>
    <t>Medical Supplies</t>
  </si>
  <si>
    <t>F</t>
  </si>
  <si>
    <t>G</t>
  </si>
  <si>
    <t>H</t>
  </si>
  <si>
    <t>I</t>
  </si>
  <si>
    <t>J</t>
  </si>
  <si>
    <t>K</t>
  </si>
  <si>
    <t>L</t>
  </si>
  <si>
    <t>N</t>
  </si>
  <si>
    <t>O</t>
  </si>
  <si>
    <t>P</t>
  </si>
  <si>
    <t>M</t>
  </si>
  <si>
    <t>Column Letter on CYFDriver</t>
  </si>
  <si>
    <t>CYFDriver Match</t>
  </si>
  <si>
    <t>R_OPRev</t>
  </si>
  <si>
    <t>R_OthPtRev</t>
  </si>
  <si>
    <t>D_Contractual</t>
  </si>
  <si>
    <t>E_Benefits</t>
  </si>
  <si>
    <t>E_ProFees</t>
  </si>
  <si>
    <t>E_MaintRepairs</t>
  </si>
  <si>
    <t>E_PurchSvcs</t>
  </si>
  <si>
    <t>E_RentLease</t>
  </si>
  <si>
    <t>E_Utilities</t>
  </si>
  <si>
    <t>E_OtherExp</t>
  </si>
  <si>
    <t>E_Depreciation</t>
  </si>
  <si>
    <t>E_OthSupplies</t>
  </si>
  <si>
    <t>OP Gross Revenue</t>
  </si>
  <si>
    <t>Other Gross Revenue</t>
  </si>
  <si>
    <t>R_OtherRev</t>
  </si>
  <si>
    <t>Dept Deductions from Revenue</t>
  </si>
  <si>
    <t>E_Drugs</t>
  </si>
  <si>
    <t>E_Insurance</t>
  </si>
  <si>
    <t>E_Interest</t>
  </si>
  <si>
    <t>E_BadDebt</t>
  </si>
  <si>
    <t>Professional Fees</t>
  </si>
  <si>
    <t>Purchased Services</t>
  </si>
  <si>
    <t>Drugs &amp; Pharmaceuticals</t>
  </si>
  <si>
    <t>Other Supplies</t>
  </si>
  <si>
    <t>Depreciation &amp; Amortization</t>
  </si>
  <si>
    <t>Lease and Rental</t>
  </si>
  <si>
    <t>Maintenance &amp; Repairs</t>
  </si>
  <si>
    <t>Utilities</t>
  </si>
  <si>
    <t>Insurance</t>
  </si>
  <si>
    <t>Interest</t>
  </si>
  <si>
    <t>Bad Debt</t>
  </si>
  <si>
    <t>R_NonOpRev</t>
  </si>
  <si>
    <t>NonOperating Revenue</t>
  </si>
  <si>
    <t>R_NonOpInvest</t>
  </si>
  <si>
    <t>R_NonOpInterest</t>
  </si>
  <si>
    <t>Investment Income</t>
  </si>
  <si>
    <t>Interest Income</t>
  </si>
  <si>
    <t>E_SalariesContract</t>
  </si>
  <si>
    <t>Lookup</t>
  </si>
  <si>
    <t>Match Row</t>
  </si>
  <si>
    <t>Contract Labor</t>
  </si>
  <si>
    <t>Total Gross Charges</t>
  </si>
  <si>
    <t>Key Stat Total Change</t>
  </si>
  <si>
    <t>D_Discounts</t>
  </si>
  <si>
    <t>Q</t>
  </si>
  <si>
    <t>__GlobalStatDriver</t>
  </si>
  <si>
    <t>Dept Discounts</t>
  </si>
  <si>
    <t>AQ1: CYF Driver updates</t>
  </si>
  <si>
    <t>D_BadDebt</t>
  </si>
  <si>
    <t>D_Charity</t>
  </si>
  <si>
    <t>Dept Bad Debt</t>
  </si>
  <si>
    <t>Dept Charity</t>
  </si>
  <si>
    <t>7:7</t>
  </si>
  <si>
    <t>P1</t>
  </si>
  <si>
    <t>P2</t>
  </si>
  <si>
    <t>P3</t>
  </si>
  <si>
    <t>P4</t>
  </si>
  <si>
    <t>P5</t>
  </si>
  <si>
    <t>P6</t>
  </si>
  <si>
    <t>P7</t>
  </si>
  <si>
    <t>P8</t>
  </si>
  <si>
    <t>P9</t>
  </si>
  <si>
    <t>P10</t>
  </si>
  <si>
    <t>P11</t>
  </si>
  <si>
    <t>P12</t>
  </si>
  <si>
    <t>Current Year Forecast Driver</t>
  </si>
  <si>
    <t>B8:E11</t>
  </si>
  <si>
    <t>Stat Driver Exceptions</t>
  </si>
  <si>
    <t>INITIATIVEID.INITIATIVEID NOT IN (202001, 202002, 202003, 202004, 202005, 202006, 202007, 202008, 202009, 202010, 202011, 202012)</t>
  </si>
  <si>
    <t>Acct Description</t>
  </si>
  <si>
    <t>Initiative ID</t>
  </si>
  <si>
    <t xml:space="preserve">   Total Operating Revenue</t>
  </si>
  <si>
    <t>Dept_Acct</t>
  </si>
  <si>
    <t>Driver StatAcct</t>
  </si>
  <si>
    <t>AP</t>
  </si>
  <si>
    <t>AQ</t>
  </si>
  <si>
    <t>AU</t>
  </si>
  <si>
    <t>Dept.Dept</t>
  </si>
  <si>
    <t>ACCT.Acct</t>
  </si>
  <si>
    <t>Acct.Description</t>
  </si>
  <si>
    <t>Acct.BudgetType</t>
  </si>
  <si>
    <t>Acct.FSDetail</t>
  </si>
  <si>
    <t>Select Dept:</t>
  </si>
  <si>
    <t>DEPT.Dept</t>
  </si>
  <si>
    <t>DEPT.DEPT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</si>
</sst>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1" formatCode="_(* #,##0_);_(* \(#,##0\);_(* &quot;-&quot;_);_(@_)"/>
    <numFmt numFmtId="43" formatCode="_(* #,##0.00_);_(* \(#,##0.00\);_(* &quot;-&quot;??_);_(@_)"/>
    <numFmt numFmtId="164" formatCode="0_);\(0\)"/>
    <numFmt numFmtId="165" formatCode=";;;"/>
    <numFmt numFmtId="166" formatCode="0.0%_);\(0.0%\)"/>
    <numFmt numFmtId="167" formatCode="#,##0.0_);\(#,##0.0\)"/>
    <numFmt numFmtId="168" formatCode="0.00%_);\(0.00%\)"/>
    <numFmt numFmtId="169" formatCode="#,##0.000_);\(#,##0.000\)"/>
    <numFmt numFmtId="170" formatCode="#,##0.0000_);\(#,##0.0000\)"/>
    <numFmt numFmtId="171" formatCode="mm/dd/yy"/>
    <numFmt numFmtId="172" formatCode="mmm\-yyyy"/>
    <numFmt numFmtId="173" formatCode="_(* #,##0_);_(* \(#,##0\);_(* &quot;-&quot;??_);_(@_)"/>
    <numFmt numFmtId="174" formatCode="0.0%"/>
  </numFmts>
  <fonts count="82">
    <font>
      <sz val="11"/>
      <color theme="1"/>
      <name val="Segoe UI"/>
      <family val="2"/>
      <scheme val="minor"/>
    </font>
    <font>
      <sz val="10"/>
      <color rgb="FF232D32"/>
      <name val="Segoe UI"/>
      <family val="2"/>
    </font>
    <font>
      <b/>
      <sz val="10"/>
      <color rgb="FF232D32"/>
      <name val="Segoe UI"/>
      <family val="2"/>
    </font>
    <font>
      <b/>
      <sz val="10"/>
      <color rgb="FF455A64"/>
      <name val="Segoe UI"/>
      <family val="2"/>
    </font>
    <font>
      <sz val="10"/>
      <color rgb="FF455A64"/>
      <name val="Segoe UI"/>
      <family val="2"/>
    </font>
    <font>
      <sz val="12"/>
      <color rgb="FF455A64"/>
      <name val="Segoe UI"/>
      <family val="2"/>
    </font>
    <font>
      <b/>
      <sz val="12"/>
      <color rgb="FF455A64"/>
      <name val="Segoe UI"/>
      <family val="2"/>
    </font>
    <font>
      <sz val="10"/>
      <color rgb="FF222B35"/>
      <name val="Segoe UI"/>
      <family val="2"/>
    </font>
    <font>
      <sz val="22"/>
      <color rgb="FF64B5F6"/>
      <name val="Segoe UI"/>
      <family val="2"/>
    </font>
    <font>
      <b/>
      <sz val="10"/>
      <color rgb="FF00B0F0"/>
      <name val="Segoe UI"/>
      <family val="2"/>
    </font>
    <font>
      <sz val="11"/>
      <color rgb="FF000000"/>
      <name val="Segoe UI"/>
      <family val="2"/>
    </font>
    <font>
      <sz val="11"/>
      <color rgb="FFFFFFFF"/>
      <name val="Segoe UI"/>
      <family val="2"/>
    </font>
    <font>
      <sz val="10"/>
      <color rgb="FF00A6CF"/>
      <name val="Segoe UI"/>
      <family val="2"/>
    </font>
    <font>
      <sz val="10"/>
      <color rgb="FFFFFFFF"/>
      <name val="Segoe UI"/>
      <family val="2"/>
    </font>
    <font>
      <b/>
      <sz val="10"/>
      <color rgb="FF000000"/>
      <name val="Segoe UI"/>
      <family val="2"/>
    </font>
    <font>
      <i/>
      <sz val="9"/>
      <color rgb="FF7F7F7F"/>
      <name val="Segoe UI"/>
      <family val="2"/>
    </font>
    <font>
      <i/>
      <sz val="11"/>
      <color rgb="FF7F7F7F"/>
      <name val="Segoe UI"/>
      <family val="2"/>
    </font>
    <font>
      <sz val="11"/>
      <color rgb="FF17A8FF"/>
      <name val="FontAwesome"/>
    </font>
    <font>
      <i/>
      <sz val="8"/>
      <color rgb="FF455A64"/>
      <name val="Segoe UI"/>
      <family val="2"/>
    </font>
    <font>
      <sz val="10"/>
      <color rgb="FFFF0000"/>
      <name val="Wingdings"/>
      <charset val="2"/>
    </font>
    <font>
      <sz val="11"/>
      <color rgb="FF232D32"/>
      <name val="Segoe UI"/>
      <family val="2"/>
    </font>
    <font>
      <sz val="10"/>
      <name val="Segoe UI"/>
      <family val="2"/>
      <scheme val="minor"/>
    </font>
    <font>
      <sz val="11"/>
      <color theme="3" tint="-0.49961851863155005"/>
      <name val="Segoe UI"/>
      <family val="2"/>
      <scheme val="minor"/>
    </font>
    <font>
      <b/>
      <sz val="11"/>
      <color theme="3" tint="-0.49961851863155005"/>
      <name val="Antique Olive Roman"/>
      <family val="2"/>
    </font>
    <font>
      <sz val="11"/>
      <color theme="3" tint="-0.49964903714102604"/>
      <name val="Segoe UI"/>
      <family val="2"/>
      <scheme val="minor"/>
    </font>
    <font>
      <b/>
      <sz val="11"/>
      <color theme="3" tint="-0.49961851863155005"/>
      <name val="Segoe UI"/>
      <family val="2"/>
      <scheme val="minor"/>
    </font>
    <font>
      <sz val="11"/>
      <color theme="3" tint="-0.49992370372631001"/>
      <name val="Segoe UI"/>
      <family val="2"/>
      <scheme val="minor"/>
    </font>
    <font>
      <sz val="11"/>
      <color theme="0"/>
      <name val="Segoe UI"/>
      <family val="2"/>
      <scheme val="minor"/>
    </font>
    <font>
      <u/>
      <sz val="8"/>
      <color theme="3" tint="-0.49964903714102604"/>
      <name val="Segoe UI"/>
      <family val="2"/>
      <scheme val="minor"/>
    </font>
    <font>
      <b/>
      <sz val="11"/>
      <color theme="3" tint="-0.49964903714102604"/>
      <name val="Antique Olive Roman"/>
      <family val="2"/>
    </font>
    <font>
      <sz val="8"/>
      <color theme="3" tint="-0.49961851863155005"/>
      <name val="Segoe UI"/>
      <family val="2"/>
      <scheme val="minor"/>
    </font>
    <font>
      <b/>
      <sz val="10"/>
      <name val="Segoe UI"/>
      <family val="2"/>
      <scheme val="minor"/>
    </font>
    <font>
      <u/>
      <sz val="11"/>
      <color theme="3" tint="-0.49961851863155005"/>
      <name val="Segoe UI"/>
      <family val="2"/>
      <scheme val="minor"/>
    </font>
    <font>
      <u/>
      <sz val="8"/>
      <color theme="3" tint="-0.49961851863155005"/>
      <name val="Segoe UI"/>
      <family val="2"/>
      <scheme val="minor"/>
    </font>
    <font>
      <b/>
      <sz val="8"/>
      <color theme="3" tint="-0.49961851863155005"/>
      <name val="Antique Olive Roman"/>
      <family val="2"/>
    </font>
    <font>
      <sz val="10"/>
      <name val="Arial"/>
      <family val="2"/>
    </font>
    <font>
      <sz val="10"/>
      <color theme="1"/>
      <name val="Segoe UI"/>
      <family val="2"/>
      <scheme val="minor"/>
    </font>
    <font>
      <sz val="10"/>
      <color theme="1"/>
      <name val="Segoe UI"/>
      <family val="2"/>
    </font>
    <font>
      <b/>
      <sz val="11"/>
      <color theme="3" tint="-0.49992370372631001"/>
      <name val="Segoe UI"/>
      <family val="2"/>
      <scheme val="minor"/>
    </font>
    <font>
      <sz val="8"/>
      <color theme="0"/>
      <name val="Segoe UI"/>
      <family val="2"/>
      <scheme val="minor"/>
    </font>
    <font>
      <sz val="10"/>
      <color indexed="10"/>
      <name val="Segoe UI"/>
      <family val="2"/>
      <scheme val="minor"/>
    </font>
    <font>
      <b/>
      <u/>
      <sz val="11"/>
      <color theme="3" tint="-0.49961851863155005"/>
      <name val="Segoe UI"/>
      <family val="2"/>
      <scheme val="minor"/>
    </font>
    <font>
      <sz val="10"/>
      <color indexed="39"/>
      <name val="Segoe UI"/>
      <family val="2"/>
      <scheme val="minor"/>
    </font>
    <font>
      <b/>
      <u/>
      <sz val="11"/>
      <color theme="3" tint="-0.49992370372631001"/>
      <name val="Segoe UI"/>
      <family val="2"/>
      <scheme val="minor"/>
    </font>
    <font>
      <u/>
      <sz val="11"/>
      <color theme="3" tint="-0.49964903714102604"/>
      <name val="Segoe UI"/>
      <family val="2"/>
      <scheme val="minor"/>
    </font>
    <font>
      <sz val="11"/>
      <color theme="0" tint="-0.14990691854609822"/>
      <name val="Segoe UI"/>
      <family val="2"/>
      <scheme val="minor"/>
    </font>
    <font>
      <i/>
      <sz val="11"/>
      <color theme="0" tint="-0.14990691854609822"/>
      <name val="Segoe UI"/>
      <family val="2"/>
      <scheme val="minor"/>
    </font>
    <font>
      <b/>
      <sz val="11"/>
      <color theme="3" tint="-0.49964903714102604"/>
      <name val="Segoe UI"/>
      <family val="2"/>
      <scheme val="minor"/>
    </font>
    <font>
      <b/>
      <sz val="11"/>
      <color theme="0"/>
      <name val="Segoe UI"/>
      <family val="2"/>
      <scheme val="minor"/>
    </font>
    <font>
      <b/>
      <sz val="11"/>
      <color theme="0" tint="-0.14963225196081423"/>
      <name val="Segoe UI"/>
      <family val="2"/>
      <scheme val="minor"/>
    </font>
    <font>
      <b/>
      <sz val="8"/>
      <color theme="3" tint="-0.49961851863155005"/>
      <name val="Segoe UI"/>
      <family val="2"/>
      <scheme val="minor"/>
    </font>
    <font>
      <sz val="10"/>
      <color indexed="50"/>
      <name val="Arial"/>
      <family val="2"/>
    </font>
    <font>
      <b/>
      <sz val="10"/>
      <color indexed="10"/>
      <name val="Segoe UI"/>
      <family val="2"/>
      <scheme val="minor"/>
    </font>
    <font>
      <sz val="8"/>
      <name val="Arial"/>
      <family val="2"/>
    </font>
    <font>
      <sz val="8"/>
      <color indexed="12"/>
      <name val="Arial"/>
      <family val="2"/>
    </font>
    <font>
      <sz val="12"/>
      <name val="Arial"/>
      <family val="2"/>
    </font>
    <font>
      <sz val="11"/>
      <color theme="0" tint="-0.14963225196081423"/>
      <name val="Segoe UI"/>
      <family val="2"/>
      <scheme val="minor"/>
    </font>
    <font>
      <b/>
      <sz val="10"/>
      <color theme="1"/>
      <name val="Segoe UI"/>
      <family val="2"/>
    </font>
    <font>
      <sz val="10"/>
      <color indexed="12"/>
      <name val="Arial"/>
      <family val="2"/>
    </font>
    <font>
      <b/>
      <u/>
      <sz val="11"/>
      <color theme="0" tint="-0.14963225196081423"/>
      <name val="Segoe UI"/>
      <family val="2"/>
      <scheme val="minor"/>
    </font>
    <font>
      <sz val="11"/>
      <name val="Segoe UI"/>
      <family val="2"/>
      <scheme val="minor"/>
    </font>
    <font>
      <i/>
      <sz val="11"/>
      <color theme="3"/>
      <name val="Segoe UI"/>
      <family val="2"/>
      <scheme val="minor"/>
    </font>
    <font>
      <sz val="12"/>
      <color indexed="50"/>
      <name val="Arial"/>
      <family val="2"/>
    </font>
    <font>
      <sz val="10"/>
      <name val="Verdana"/>
      <family val="2"/>
    </font>
    <font>
      <sz val="11"/>
      <color theme="9" tint="-0.24961088900418105"/>
      <name val="Segoe UI"/>
      <family val="2"/>
      <scheme val="minor"/>
    </font>
    <font>
      <b/>
      <i/>
      <sz val="10"/>
      <name val="Segoe UI"/>
      <family val="2"/>
      <scheme val="minor"/>
    </font>
    <font>
      <b/>
      <sz val="14"/>
      <color theme="3" tint="-0.49992370372631001"/>
      <name val="Segoe UI"/>
      <family val="2"/>
      <scheme val="minor"/>
    </font>
    <font>
      <b/>
      <sz val="10"/>
      <color theme="4" tint="-0.24991607409894101"/>
      <name val="Segoe UI"/>
      <family val="2"/>
      <scheme val="minor"/>
    </font>
    <font>
      <i/>
      <sz val="10"/>
      <name val="Segoe UI"/>
      <family val="2"/>
      <scheme val="minor"/>
    </font>
    <font>
      <b/>
      <sz val="10"/>
      <color rgb="FFFF0000"/>
      <name val="Segoe UI"/>
      <family val="2"/>
      <scheme val="minor"/>
    </font>
    <font>
      <sz val="10"/>
      <color rgb="FF292929"/>
      <name val="Segoe UI"/>
      <family val="2"/>
    </font>
    <font>
      <b/>
      <sz val="10"/>
      <color indexed="17"/>
      <name val="Segoe UI"/>
      <family val="2"/>
      <scheme val="minor"/>
    </font>
    <font>
      <b/>
      <sz val="12"/>
      <color theme="1"/>
      <name val="Segoe UI"/>
      <family val="2"/>
    </font>
    <font>
      <sz val="11"/>
      <color theme="1"/>
      <name val="Segoe UI"/>
      <family val="2"/>
      <scheme val="minor"/>
    </font>
    <font>
      <sz val="11"/>
      <color rgb="FF00B050"/>
      <name val="Segoe UI"/>
      <family val="2"/>
    </font>
    <font>
      <sz val="10"/>
      <color rgb="FF0000CC"/>
      <name val="Segoe UI"/>
      <family val="2"/>
      <scheme val="minor"/>
    </font>
    <font>
      <b/>
      <sz val="10"/>
      <color rgb="FF222B35"/>
      <name val="Segoe UI"/>
      <family val="2"/>
    </font>
    <font>
      <sz val="8"/>
      <name val="Segoe UI"/>
      <family val="2"/>
      <scheme val="minor"/>
    </font>
    <font>
      <b/>
      <sz val="11"/>
      <color rgb="FF000000"/>
      <name val="Segoe UI"/>
      <family val="2"/>
    </font>
    <font>
      <i/>
      <sz val="9"/>
      <name val="Segoe UI"/>
      <family val="2"/>
    </font>
    <font>
      <i/>
      <sz val="9"/>
      <name val="Segoe UI"/>
      <family val="2"/>
      <scheme val="minor"/>
    </font>
    <font>
      <sz val="12"/>
      <color rgb="FF000000"/>
      <name val="Calibri"/>
      <family val="2"/>
    </font>
  </fonts>
  <fills count="63">
    <fill>
      <patternFill patternType="none"/>
    </fill>
    <fill>
      <patternFill patternType="gray125"/>
    </fill>
    <fill>
      <patternFill patternType="solid">
        <fgColor rgb="FFFFFFFF"/>
        <bgColor indexed="64"/>
      </patternFill>
    </fill>
    <fill>
      <patternFill patternType="solid">
        <fgColor rgb="FFEBEEF0"/>
        <bgColor indexed="64"/>
      </patternFill>
    </fill>
    <fill>
      <patternFill patternType="solid">
        <fgColor rgb="FFE7E6E6"/>
        <bgColor indexed="64"/>
      </patternFill>
    </fill>
    <fill>
      <patternFill patternType="solid">
        <fgColor rgb="FFCED7DB"/>
        <bgColor indexed="64"/>
      </patternFill>
    </fill>
    <fill>
      <patternFill patternType="solid">
        <fgColor rgb="FFCCCCCC"/>
        <bgColor indexed="64"/>
      </patternFill>
    </fill>
    <fill>
      <patternFill patternType="solid">
        <fgColor rgb="FFC2E9FF"/>
        <bgColor indexed="64"/>
      </patternFill>
    </fill>
    <fill>
      <patternFill patternType="solid">
        <fgColor rgb="FFF7F7F7"/>
        <bgColor indexed="64"/>
      </patternFill>
    </fill>
    <fill>
      <patternFill patternType="solid">
        <fgColor rgb="FF0083CC"/>
        <bgColor indexed="64"/>
      </patternFill>
    </fill>
    <fill>
      <patternFill patternType="solid">
        <fgColor rgb="FFAFBDC5"/>
        <bgColor indexed="64"/>
      </patternFill>
    </fill>
    <fill>
      <patternFill patternType="solid">
        <fgColor rgb="FF78909C"/>
        <bgColor indexed="64"/>
      </patternFill>
    </fill>
    <fill>
      <patternFill patternType="solid">
        <fgColor rgb="FF455A63"/>
        <bgColor indexed="64"/>
      </patternFill>
    </fill>
    <fill>
      <patternFill patternType="solid">
        <fgColor rgb="FF15222C"/>
        <bgColor indexed="64"/>
      </patternFill>
    </fill>
    <fill>
      <patternFill patternType="solid">
        <fgColor rgb="FF00B0F0"/>
        <bgColor indexed="64"/>
      </patternFill>
    </fill>
    <fill>
      <patternFill patternType="solid">
        <fgColor rgb="FFE1D5A9"/>
        <bgColor indexed="64"/>
      </patternFill>
    </fill>
    <fill>
      <patternFill patternType="solid">
        <fgColor rgb="FFD0BE7A"/>
        <bgColor indexed="64"/>
      </patternFill>
    </fill>
    <fill>
      <patternFill patternType="solid">
        <fgColor rgb="FFBDA343"/>
        <bgColor indexed="64"/>
      </patternFill>
    </fill>
    <fill>
      <patternFill patternType="solid">
        <fgColor rgb="FF9B8637"/>
        <bgColor indexed="64"/>
      </patternFill>
    </fill>
    <fill>
      <patternFill patternType="solid">
        <fgColor rgb="FF7F6D2D"/>
        <bgColor indexed="64"/>
      </patternFill>
    </fill>
    <fill>
      <patternFill patternType="solid">
        <fgColor rgb="FFB8F5C9"/>
        <bgColor indexed="64"/>
      </patternFill>
    </fill>
    <fill>
      <patternFill patternType="solid">
        <fgColor rgb="FFD1C4E9"/>
        <bgColor indexed="64"/>
      </patternFill>
    </fill>
    <fill>
      <patternFill patternType="solid">
        <fgColor rgb="FFB39DDB"/>
        <bgColor indexed="64"/>
      </patternFill>
    </fill>
    <fill>
      <patternFill patternType="solid">
        <fgColor rgb="FF7E57C2"/>
        <bgColor indexed="64"/>
      </patternFill>
    </fill>
    <fill>
      <patternFill patternType="solid">
        <fgColor rgb="FF3B27A0"/>
        <bgColor indexed="64"/>
      </patternFill>
    </fill>
    <fill>
      <patternFill patternType="solid">
        <fgColor rgb="FF20156D"/>
        <bgColor indexed="64"/>
      </patternFill>
    </fill>
    <fill>
      <patternFill patternType="solid">
        <fgColor rgb="FFB2DFDB"/>
        <bgColor indexed="64"/>
      </patternFill>
    </fill>
    <fill>
      <patternFill patternType="solid">
        <fgColor rgb="FF4DB6AC"/>
        <bgColor indexed="64"/>
      </patternFill>
    </fill>
    <fill>
      <patternFill patternType="solid">
        <fgColor rgb="FF009688"/>
        <bgColor indexed="64"/>
      </patternFill>
    </fill>
    <fill>
      <patternFill patternType="solid">
        <fgColor rgb="FF00796B"/>
        <bgColor indexed="64"/>
      </patternFill>
    </fill>
    <fill>
      <patternFill patternType="solid">
        <fgColor rgb="FF004D40"/>
        <bgColor indexed="64"/>
      </patternFill>
    </fill>
    <fill>
      <patternFill patternType="solid">
        <fgColor rgb="FFDDF2FF"/>
        <bgColor indexed="64"/>
      </patternFill>
    </fill>
    <fill>
      <patternFill patternType="solid">
        <fgColor rgb="FFF8BBD0"/>
        <bgColor indexed="64"/>
      </patternFill>
    </fill>
    <fill>
      <patternFill patternType="solid">
        <fgColor rgb="FFF06292"/>
        <bgColor indexed="64"/>
      </patternFill>
    </fill>
    <fill>
      <patternFill patternType="solid">
        <fgColor rgb="FFE91E63"/>
        <bgColor indexed="64"/>
      </patternFill>
    </fill>
    <fill>
      <patternFill patternType="solid">
        <fgColor rgb="FFC2185B"/>
        <bgColor indexed="64"/>
      </patternFill>
    </fill>
    <fill>
      <patternFill patternType="solid">
        <fgColor rgb="FF880E4F"/>
        <bgColor indexed="64"/>
      </patternFill>
    </fill>
    <fill>
      <patternFill patternType="solid">
        <fgColor rgb="FFBBDEFB"/>
        <bgColor indexed="64"/>
      </patternFill>
    </fill>
    <fill>
      <patternFill patternType="solid">
        <fgColor rgb="FF64B5F6"/>
        <bgColor indexed="64"/>
      </patternFill>
    </fill>
    <fill>
      <patternFill patternType="solid">
        <fgColor rgb="FF2196F3"/>
        <bgColor indexed="64"/>
      </patternFill>
    </fill>
    <fill>
      <patternFill patternType="solid">
        <fgColor rgb="FF1976D2"/>
        <bgColor indexed="64"/>
      </patternFill>
    </fill>
    <fill>
      <patternFill patternType="solid">
        <fgColor rgb="FF0D47A1"/>
        <bgColor indexed="64"/>
      </patternFill>
    </fill>
    <fill>
      <patternFill patternType="solid">
        <fgColor rgb="FFFFECB3"/>
        <bgColor indexed="64"/>
      </patternFill>
    </fill>
    <fill>
      <patternFill patternType="solid">
        <fgColor rgb="FFFFD54F"/>
        <bgColor indexed="64"/>
      </patternFill>
    </fill>
    <fill>
      <patternFill patternType="solid">
        <fgColor rgb="FFFFC107"/>
        <bgColor indexed="64"/>
      </patternFill>
    </fill>
    <fill>
      <patternFill patternType="solid">
        <fgColor rgb="FFFFA000"/>
        <bgColor indexed="64"/>
      </patternFill>
    </fill>
    <fill>
      <patternFill patternType="solid">
        <fgColor rgb="FFFF6F00"/>
        <bgColor indexed="64"/>
      </patternFill>
    </fill>
    <fill>
      <patternFill patternType="solid">
        <fgColor indexed="9"/>
        <bgColor indexed="64"/>
      </patternFill>
    </fill>
    <fill>
      <patternFill patternType="solid">
        <fgColor theme="0" tint="-0.14963225196081423"/>
        <bgColor indexed="64"/>
      </patternFill>
    </fill>
    <fill>
      <patternFill patternType="solid">
        <fgColor theme="0"/>
        <bgColor indexed="64"/>
      </patternFill>
    </fill>
    <fill>
      <patternFill patternType="solid">
        <fgColor theme="0" tint="-0.14966277047029022"/>
        <bgColor indexed="64"/>
      </patternFill>
    </fill>
    <fill>
      <patternFill patternType="solid">
        <fgColor theme="0" tint="-0.14993743705557422"/>
        <bgColor indexed="64"/>
      </patternFill>
    </fill>
    <fill>
      <patternFill patternType="solid">
        <fgColor theme="3"/>
        <bgColor indexed="64"/>
      </patternFill>
    </fill>
    <fill>
      <patternFill patternType="solid">
        <fgColor theme="0" tint="-0.49992370372631001"/>
        <bgColor indexed="64"/>
      </patternFill>
    </fill>
    <fill>
      <patternFill patternType="solid">
        <fgColor theme="8" tint="-9.9917600024414813E-2"/>
        <bgColor indexed="64"/>
      </patternFill>
    </fill>
    <fill>
      <patternFill patternType="solid">
        <fgColor rgb="FFFFFF00"/>
        <bgColor indexed="64"/>
      </patternFill>
    </fill>
    <fill>
      <patternFill patternType="solid">
        <fgColor theme="0" tint="-4.992828150273141E-2"/>
        <bgColor indexed="64"/>
      </patternFill>
    </fill>
    <fill>
      <patternFill patternType="solid">
        <fgColor theme="8"/>
        <bgColor indexed="64"/>
      </patternFill>
    </fill>
    <fill>
      <patternFill patternType="solid">
        <fgColor indexed="22"/>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
      <patternFill patternType="solid">
        <fgColor theme="8" tint="-0.249977111117893"/>
        <bgColor indexed="64"/>
      </patternFill>
    </fill>
  </fills>
  <borders count="29">
    <border>
      <left/>
      <right/>
      <top/>
      <bottom/>
      <diagonal/>
    </border>
    <border>
      <left/>
      <right/>
      <top style="thin">
        <color rgb="FF9AAFBA"/>
      </top>
      <bottom style="thin">
        <color rgb="FF9AAFBA"/>
      </bottom>
      <diagonal/>
    </border>
    <border>
      <left style="thick">
        <color rgb="FFFFFFFF"/>
      </left>
      <right style="thick">
        <color rgb="FFFFFFFF"/>
      </right>
      <top/>
      <bottom/>
      <diagonal/>
    </border>
    <border>
      <left style="thin">
        <color rgb="FFD9D9D9"/>
      </left>
      <right style="thin">
        <color rgb="FFD9D9D9"/>
      </right>
      <top style="thin">
        <color rgb="FFD9D9D9"/>
      </top>
      <bottom style="thin">
        <color rgb="FFD9D9D9"/>
      </bottom>
      <diagonal/>
    </border>
    <border>
      <left/>
      <right/>
      <top style="dashed">
        <color rgb="FFDBE2E5"/>
      </top>
      <bottom style="dashed">
        <color rgb="FFDBE2E5"/>
      </bottom>
      <diagonal/>
    </border>
    <border>
      <left style="thick">
        <color rgb="FFFFFFFF"/>
      </left>
      <right style="thick">
        <color rgb="FFFFFFFF"/>
      </right>
      <top style="thick">
        <color rgb="FFFFFFFF"/>
      </top>
      <bottom style="thick">
        <color rgb="FFFFFFFF"/>
      </bottom>
      <diagonal/>
    </border>
    <border>
      <left/>
      <right/>
      <top style="thin">
        <color rgb="FFD8E2E5"/>
      </top>
      <bottom style="thin">
        <color rgb="FFD8E2E5"/>
      </bottom>
      <diagonal/>
    </border>
    <border>
      <left/>
      <right/>
      <top style="thin">
        <color rgb="FF000000"/>
      </top>
      <bottom style="thin">
        <color rgb="FF000000"/>
      </bottom>
      <diagonal/>
    </border>
    <border>
      <left style="thin">
        <color theme="3"/>
      </left>
      <right style="thin">
        <color theme="3"/>
      </right>
      <top style="thin">
        <color theme="3"/>
      </top>
      <bottom style="thin">
        <color theme="3"/>
      </bottom>
      <diagonal/>
    </border>
    <border>
      <left style="hair">
        <color auto="1"/>
      </left>
      <right style="hair">
        <color auto="1"/>
      </right>
      <top style="thin">
        <color auto="1"/>
      </top>
      <bottom style="thin">
        <color auto="1"/>
      </bottom>
      <diagonal/>
    </border>
    <border>
      <left style="thin">
        <color theme="0" tint="-0.24988555558946501"/>
      </left>
      <right style="thin">
        <color theme="0" tint="-0.24988555558946501"/>
      </right>
      <top style="thin">
        <color theme="0" tint="-0.24988555558946501"/>
      </top>
      <bottom style="thin">
        <color theme="0" tint="-0.24988555558946501"/>
      </bottom>
      <diagonal/>
    </border>
    <border>
      <left style="medium">
        <color indexed="64"/>
      </left>
      <right style="medium">
        <color theme="3"/>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theme="0" tint="-0.49992370372631001"/>
      </left>
      <right/>
      <top/>
      <bottom style="medium">
        <color rgb="FF1F497D"/>
      </bottom>
      <diagonal/>
    </border>
    <border>
      <left style="thin">
        <color theme="0" tint="-0.49992370372631001"/>
      </left>
      <right/>
      <top/>
      <bottom/>
      <diagonal/>
    </border>
    <border>
      <left/>
      <right style="thin">
        <color theme="0" tint="-0.49992370372631001"/>
      </right>
      <top style="thin">
        <color theme="0" tint="-0.24988555558946501"/>
      </top>
      <bottom style="thin">
        <color theme="0" tint="-0.49992370372631001"/>
      </bottom>
      <diagonal/>
    </border>
    <border>
      <left style="thin">
        <color theme="0" tint="-0.24988555558946501"/>
      </left>
      <right/>
      <top style="thin">
        <color theme="0" tint="-0.24988555558946501"/>
      </top>
      <bottom style="thin">
        <color theme="0" tint="-0.49992370372631001"/>
      </bottom>
      <diagonal/>
    </border>
    <border>
      <left style="thin">
        <color auto="1"/>
      </left>
      <right style="hair">
        <color auto="1"/>
      </right>
      <top style="thin">
        <color auto="1"/>
      </top>
      <bottom style="thin">
        <color auto="1"/>
      </bottom>
      <diagonal/>
    </border>
    <border>
      <left style="thin">
        <color indexed="64"/>
      </left>
      <right/>
      <top style="thin">
        <color indexed="64"/>
      </top>
      <bottom style="thin">
        <color indexed="64"/>
      </bottom>
      <diagonal/>
    </border>
    <border>
      <left/>
      <right/>
      <top style="medium">
        <color rgb="FF1F497D"/>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3"/>
      </left>
      <right/>
      <top style="thin">
        <color theme="3"/>
      </top>
      <bottom style="thin">
        <color theme="3"/>
      </bottom>
      <diagonal/>
    </border>
    <border>
      <left style="thick">
        <color indexed="64"/>
      </left>
      <right/>
      <top/>
      <bottom/>
      <diagonal/>
    </border>
    <border>
      <left style="thick">
        <color indexed="64"/>
      </left>
      <right/>
      <top style="thin">
        <color rgb="FF9AAFBA"/>
      </top>
      <bottom style="thin">
        <color rgb="FF9AAFBA"/>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s>
  <cellStyleXfs count="201">
    <xf numFmtId="0" fontId="0" fillId="2" borderId="0" applyNumberFormat="0" applyFont="0" applyFill="0" applyBorder="0" applyAlignment="0" applyProtection="0"/>
    <xf numFmtId="164" fontId="1" fillId="2" borderId="0">
      <alignment horizontal="left" vertical="center"/>
    </xf>
    <xf numFmtId="5" fontId="1" fillId="2" borderId="0">
      <alignment horizontal="right" vertical="center"/>
    </xf>
    <xf numFmtId="7" fontId="1" fillId="2" borderId="0">
      <alignment horizontal="right" vertical="center"/>
    </xf>
    <xf numFmtId="164" fontId="1" fillId="2" borderId="0">
      <alignment horizontal="right" vertical="center"/>
    </xf>
    <xf numFmtId="37" fontId="1" fillId="2" borderId="0">
      <alignment horizontal="right" vertical="center"/>
    </xf>
    <xf numFmtId="166" fontId="1" fillId="2" borderId="0">
      <alignment horizontal="right" vertical="center"/>
    </xf>
    <xf numFmtId="167" fontId="1" fillId="2" borderId="0">
      <alignment horizontal="right" vertical="center"/>
    </xf>
    <xf numFmtId="168" fontId="1" fillId="2" borderId="0">
      <alignment horizontal="right" vertical="center"/>
    </xf>
    <xf numFmtId="39" fontId="1" fillId="2" borderId="0">
      <alignment horizontal="right" vertical="center"/>
    </xf>
    <xf numFmtId="169" fontId="1" fillId="2" borderId="0">
      <alignment horizontal="right" vertical="center"/>
    </xf>
    <xf numFmtId="170" fontId="1" fillId="2" borderId="0">
      <alignment horizontal="right" vertical="center"/>
    </xf>
    <xf numFmtId="164" fontId="1" fillId="2" borderId="0">
      <alignment horizontal="left" vertical="center"/>
    </xf>
    <xf numFmtId="164" fontId="1" fillId="2" borderId="0">
      <alignment horizontal="left" vertical="center" indent="1"/>
    </xf>
    <xf numFmtId="171" fontId="1" fillId="2" borderId="0">
      <alignment horizontal="right" vertical="center"/>
    </xf>
    <xf numFmtId="172" fontId="1" fillId="2" borderId="0">
      <alignment horizontal="right" vertical="center"/>
    </xf>
    <xf numFmtId="5" fontId="1" fillId="3" borderId="1">
      <alignment horizontal="right" vertical="center"/>
    </xf>
    <xf numFmtId="7" fontId="1" fillId="3" borderId="1">
      <alignment horizontal="right" vertical="center"/>
    </xf>
    <xf numFmtId="164" fontId="1" fillId="3" borderId="1">
      <alignment horizontal="right" vertical="center"/>
    </xf>
    <xf numFmtId="37" fontId="1" fillId="3" borderId="1">
      <alignment horizontal="right" vertical="center"/>
    </xf>
    <xf numFmtId="166" fontId="1" fillId="3" borderId="1">
      <alignment horizontal="right" vertical="center"/>
    </xf>
    <xf numFmtId="167" fontId="1" fillId="3" borderId="1">
      <alignment horizontal="right" vertical="center"/>
    </xf>
    <xf numFmtId="168" fontId="1" fillId="3" borderId="1">
      <alignment horizontal="right" vertical="center"/>
    </xf>
    <xf numFmtId="39" fontId="1" fillId="3" borderId="1">
      <alignment horizontal="right" vertical="center"/>
    </xf>
    <xf numFmtId="169" fontId="1" fillId="3" borderId="1">
      <alignment horizontal="right" vertical="center"/>
    </xf>
    <xf numFmtId="164" fontId="1" fillId="3" borderId="1">
      <alignment horizontal="left" vertical="center"/>
    </xf>
    <xf numFmtId="164" fontId="2" fillId="2" borderId="0">
      <alignment vertical="center"/>
    </xf>
    <xf numFmtId="164" fontId="2" fillId="2" borderId="0">
      <alignment horizontal="right" vertical="center" indent="1"/>
    </xf>
    <xf numFmtId="164" fontId="2" fillId="2" borderId="0">
      <alignment horizontal="center" vertical="center"/>
    </xf>
    <xf numFmtId="5" fontId="1" fillId="2" borderId="0">
      <alignment vertical="center"/>
    </xf>
    <xf numFmtId="7" fontId="1" fillId="2" borderId="0">
      <alignment vertical="center"/>
    </xf>
    <xf numFmtId="164" fontId="1" fillId="2" borderId="0">
      <alignment vertical="center"/>
    </xf>
    <xf numFmtId="37" fontId="1" fillId="2" borderId="0">
      <alignment vertical="center"/>
    </xf>
    <xf numFmtId="166" fontId="1" fillId="2" borderId="0">
      <alignment vertical="center"/>
    </xf>
    <xf numFmtId="167" fontId="1" fillId="2" borderId="0">
      <alignment vertical="center"/>
    </xf>
    <xf numFmtId="168" fontId="1" fillId="2" borderId="0">
      <alignment vertical="center"/>
    </xf>
    <xf numFmtId="39" fontId="1" fillId="2" borderId="0">
      <alignment vertical="center"/>
    </xf>
    <xf numFmtId="169" fontId="1" fillId="2" borderId="0">
      <alignment vertical="center"/>
    </xf>
    <xf numFmtId="164" fontId="1" fillId="2" borderId="0">
      <alignment horizontal="left" vertical="center"/>
    </xf>
    <xf numFmtId="164" fontId="1" fillId="2" borderId="0">
      <alignment horizontal="left" vertical="center" indent="1"/>
    </xf>
    <xf numFmtId="164" fontId="1" fillId="2" borderId="0">
      <alignment horizontal="right" vertical="center" indent="1"/>
    </xf>
    <xf numFmtId="171" fontId="1" fillId="2" borderId="0">
      <alignment vertical="center"/>
    </xf>
    <xf numFmtId="172" fontId="1" fillId="2" borderId="0">
      <alignment vertical="center"/>
    </xf>
    <xf numFmtId="5" fontId="3" fillId="3" borderId="1">
      <alignment vertical="center"/>
    </xf>
    <xf numFmtId="7" fontId="3" fillId="3" borderId="1">
      <alignment vertical="center"/>
    </xf>
    <xf numFmtId="164" fontId="3" fillId="3" borderId="1">
      <alignment vertical="center"/>
    </xf>
    <xf numFmtId="37" fontId="3" fillId="3" borderId="1">
      <alignment vertical="center"/>
    </xf>
    <xf numFmtId="166" fontId="3" fillId="3" borderId="1">
      <alignment vertical="center"/>
    </xf>
    <xf numFmtId="167" fontId="3" fillId="3" borderId="1">
      <alignment vertical="center"/>
    </xf>
    <xf numFmtId="168" fontId="3" fillId="3" borderId="1">
      <alignment vertical="center"/>
    </xf>
    <xf numFmtId="39" fontId="3" fillId="3" borderId="1">
      <alignment vertical="center"/>
    </xf>
    <xf numFmtId="169" fontId="3" fillId="3" borderId="1">
      <alignment vertical="center"/>
    </xf>
    <xf numFmtId="164" fontId="3" fillId="3" borderId="1">
      <alignment horizontal="left" vertical="center" indent="1" justifyLastLine="1"/>
    </xf>
    <xf numFmtId="5" fontId="4" fillId="4" borderId="0">
      <alignment horizontal="center" vertical="center"/>
    </xf>
    <xf numFmtId="7" fontId="4" fillId="4" borderId="0">
      <alignment horizontal="center" vertical="center"/>
    </xf>
    <xf numFmtId="164" fontId="4" fillId="4" borderId="0">
      <alignment horizontal="center" vertical="center"/>
    </xf>
    <xf numFmtId="37" fontId="4" fillId="4" borderId="0">
      <alignment horizontal="center" vertical="center"/>
    </xf>
    <xf numFmtId="166" fontId="4" fillId="4" borderId="0">
      <alignment horizontal="center" vertical="center"/>
    </xf>
    <xf numFmtId="167" fontId="4" fillId="4" borderId="0">
      <alignment horizontal="center" vertical="center"/>
    </xf>
    <xf numFmtId="168" fontId="4" fillId="4" borderId="0">
      <alignment horizontal="center" vertical="center"/>
    </xf>
    <xf numFmtId="39" fontId="4" fillId="4" borderId="0">
      <alignment horizontal="center" vertical="center"/>
    </xf>
    <xf numFmtId="169" fontId="4" fillId="4" borderId="0">
      <alignment horizontal="center" vertical="center"/>
    </xf>
    <xf numFmtId="164" fontId="4" fillId="4" borderId="0">
      <alignment horizontal="left" vertical="center"/>
    </xf>
    <xf numFmtId="164" fontId="5" fillId="4" borderId="0">
      <alignment horizontal="left" vertical="center"/>
    </xf>
    <xf numFmtId="164" fontId="3" fillId="4" borderId="0">
      <alignment horizontal="left" vertical="center"/>
    </xf>
    <xf numFmtId="164" fontId="6" fillId="4" borderId="0">
      <alignment horizontal="left" vertical="center"/>
    </xf>
    <xf numFmtId="171" fontId="4" fillId="4" borderId="0">
      <alignment horizontal="center" vertical="center"/>
    </xf>
    <xf numFmtId="172" fontId="4" fillId="4" borderId="0">
      <alignment horizontal="center" vertical="center"/>
    </xf>
    <xf numFmtId="164" fontId="7" fillId="5" borderId="2">
      <alignment horizontal="center" vertical="center" wrapText="1"/>
    </xf>
    <xf numFmtId="164" fontId="7" fillId="2" borderId="2">
      <alignment horizontal="center" vertical="center"/>
    </xf>
    <xf numFmtId="164" fontId="3" fillId="6" borderId="0">
      <alignment horizontal="left" vertical="center"/>
    </xf>
    <xf numFmtId="164" fontId="4" fillId="6" borderId="0">
      <alignment horizontal="left" vertical="center"/>
    </xf>
    <xf numFmtId="171" fontId="7" fillId="5" borderId="2">
      <alignment horizontal="center" vertical="center"/>
    </xf>
    <xf numFmtId="172" fontId="7" fillId="5" borderId="2">
      <alignment horizontal="center" vertical="center"/>
    </xf>
    <xf numFmtId="5" fontId="3" fillId="7" borderId="0">
      <alignment vertical="center"/>
    </xf>
    <xf numFmtId="7" fontId="3" fillId="7" borderId="0">
      <alignment vertical="center"/>
    </xf>
    <xf numFmtId="164" fontId="3" fillId="7" borderId="0">
      <alignment vertical="center"/>
    </xf>
    <xf numFmtId="37" fontId="3" fillId="7" borderId="0">
      <alignment vertical="center"/>
    </xf>
    <xf numFmtId="166" fontId="3" fillId="7" borderId="0">
      <alignment vertical="center"/>
    </xf>
    <xf numFmtId="167" fontId="3" fillId="7" borderId="0">
      <alignment vertical="center"/>
    </xf>
    <xf numFmtId="168" fontId="3" fillId="7" borderId="0">
      <alignment vertical="center"/>
    </xf>
    <xf numFmtId="39" fontId="3" fillId="7" borderId="0">
      <alignment vertical="center"/>
    </xf>
    <xf numFmtId="169" fontId="3" fillId="7" borderId="0">
      <alignment vertical="center"/>
    </xf>
    <xf numFmtId="164" fontId="3" fillId="7" borderId="0">
      <alignment vertical="center"/>
    </xf>
    <xf numFmtId="164" fontId="4" fillId="2" borderId="2">
      <alignment vertical="center"/>
    </xf>
    <xf numFmtId="164" fontId="4" fillId="8" borderId="2">
      <alignment vertical="center"/>
    </xf>
    <xf numFmtId="164" fontId="5" fillId="2" borderId="0">
      <alignment vertical="center"/>
    </xf>
    <xf numFmtId="164" fontId="5" fillId="8" borderId="0">
      <alignment vertical="center"/>
    </xf>
    <xf numFmtId="164" fontId="8" fillId="2" borderId="0">
      <alignment vertical="center"/>
    </xf>
    <xf numFmtId="164" fontId="1" fillId="2" borderId="0">
      <alignment vertical="center"/>
    </xf>
    <xf numFmtId="5" fontId="1" fillId="2" borderId="0">
      <alignment vertical="center"/>
    </xf>
    <xf numFmtId="7" fontId="1" fillId="2" borderId="0">
      <alignment vertical="center"/>
    </xf>
    <xf numFmtId="164" fontId="1" fillId="2" borderId="0">
      <alignment vertical="center"/>
    </xf>
    <xf numFmtId="37" fontId="1" fillId="2" borderId="0">
      <alignment vertical="center"/>
    </xf>
    <xf numFmtId="166" fontId="1" fillId="2" borderId="0">
      <alignment vertical="center"/>
    </xf>
    <xf numFmtId="167" fontId="1" fillId="2" borderId="0">
      <alignment vertical="center"/>
    </xf>
    <xf numFmtId="168" fontId="1" fillId="2" borderId="0">
      <alignment vertical="center"/>
    </xf>
    <xf numFmtId="39" fontId="1" fillId="2" borderId="0">
      <alignment vertical="center"/>
    </xf>
    <xf numFmtId="169" fontId="1" fillId="2" borderId="0">
      <alignment vertical="center"/>
    </xf>
    <xf numFmtId="164" fontId="1" fillId="2" borderId="0">
      <alignment vertical="center"/>
    </xf>
    <xf numFmtId="164" fontId="1" fillId="2" borderId="0">
      <alignment horizontal="left" vertical="center" indent="1"/>
    </xf>
    <xf numFmtId="171" fontId="1" fillId="2" borderId="0">
      <alignment vertical="center"/>
    </xf>
    <xf numFmtId="172" fontId="1" fillId="2" borderId="0">
      <alignment vertical="center"/>
    </xf>
    <xf numFmtId="5" fontId="4" fillId="2" borderId="1">
      <alignment vertical="center"/>
    </xf>
    <xf numFmtId="7" fontId="4" fillId="2" borderId="1">
      <alignment vertical="center"/>
    </xf>
    <xf numFmtId="164" fontId="4" fillId="2" borderId="1">
      <alignment vertical="center"/>
    </xf>
    <xf numFmtId="37" fontId="4" fillId="2" borderId="1">
      <alignment vertical="center"/>
    </xf>
    <xf numFmtId="166" fontId="4" fillId="2" borderId="1">
      <alignment vertical="center"/>
    </xf>
    <xf numFmtId="167" fontId="4" fillId="2" borderId="1">
      <alignment vertical="center"/>
    </xf>
    <xf numFmtId="168" fontId="4" fillId="2" borderId="1">
      <alignment vertical="center"/>
    </xf>
    <xf numFmtId="39" fontId="4" fillId="2" borderId="1">
      <alignment vertical="center"/>
    </xf>
    <xf numFmtId="169" fontId="4" fillId="2" borderId="1">
      <alignment vertical="center"/>
    </xf>
    <xf numFmtId="164" fontId="4" fillId="2" borderId="1">
      <alignment vertical="center"/>
    </xf>
    <xf numFmtId="164" fontId="9" fillId="9" borderId="0">
      <alignment vertical="center"/>
    </xf>
    <xf numFmtId="164" fontId="10" fillId="3" borderId="0">
      <alignment vertical="center"/>
    </xf>
    <xf numFmtId="164" fontId="10" fillId="10" borderId="0">
      <alignment vertical="center"/>
    </xf>
    <xf numFmtId="164" fontId="11" fillId="11" borderId="0">
      <alignment vertical="center"/>
    </xf>
    <xf numFmtId="164" fontId="11" fillId="12" borderId="0">
      <alignment vertical="center"/>
    </xf>
    <xf numFmtId="164" fontId="11" fillId="13" borderId="0">
      <alignment vertical="center"/>
    </xf>
    <xf numFmtId="164" fontId="12" fillId="2" borderId="3">
      <alignment horizontal="center" vertical="center"/>
    </xf>
    <xf numFmtId="164" fontId="13" fillId="14" borderId="3">
      <alignment horizontal="center" vertical="center"/>
    </xf>
    <xf numFmtId="164" fontId="10" fillId="15" borderId="0">
      <alignment vertical="center"/>
    </xf>
    <xf numFmtId="164" fontId="10" fillId="16" borderId="0">
      <alignment vertical="center"/>
    </xf>
    <xf numFmtId="164" fontId="11" fillId="17" borderId="0">
      <alignment vertical="center"/>
    </xf>
    <xf numFmtId="164" fontId="11" fillId="18" borderId="0">
      <alignment vertical="center"/>
    </xf>
    <xf numFmtId="164" fontId="11" fillId="19" borderId="0">
      <alignment vertical="center"/>
    </xf>
    <xf numFmtId="164" fontId="14" fillId="14" borderId="0">
      <alignment vertical="center"/>
    </xf>
    <xf numFmtId="5" fontId="4" fillId="20" borderId="3">
      <alignment vertical="center"/>
      <protection locked="0"/>
    </xf>
    <xf numFmtId="7" fontId="4" fillId="20" borderId="3">
      <alignment vertical="center"/>
      <protection locked="0"/>
    </xf>
    <xf numFmtId="164" fontId="4" fillId="20" borderId="3">
      <alignment vertical="center"/>
      <protection locked="0"/>
    </xf>
    <xf numFmtId="37" fontId="4" fillId="20" borderId="3">
      <alignment vertical="center"/>
      <protection locked="0"/>
    </xf>
    <xf numFmtId="166" fontId="4" fillId="20" borderId="3">
      <alignment vertical="center"/>
      <protection locked="0"/>
    </xf>
    <xf numFmtId="167" fontId="4" fillId="20" borderId="3">
      <alignment vertical="center"/>
      <protection locked="0"/>
    </xf>
    <xf numFmtId="168" fontId="4" fillId="20" borderId="3">
      <alignment vertical="center"/>
      <protection locked="0"/>
    </xf>
    <xf numFmtId="39" fontId="4" fillId="20" borderId="3">
      <alignment vertical="center"/>
      <protection locked="0"/>
    </xf>
    <xf numFmtId="169" fontId="4" fillId="20" borderId="3">
      <alignment vertical="center"/>
      <protection locked="0"/>
    </xf>
    <xf numFmtId="164" fontId="4" fillId="20" borderId="3">
      <alignment horizontal="center" vertical="center"/>
      <protection locked="0"/>
    </xf>
    <xf numFmtId="171" fontId="4" fillId="20" borderId="3">
      <alignment vertical="center"/>
      <protection locked="0"/>
    </xf>
    <xf numFmtId="172" fontId="4" fillId="20" borderId="3">
      <alignment vertical="center"/>
      <protection locked="0"/>
    </xf>
    <xf numFmtId="164" fontId="10" fillId="21" borderId="0">
      <alignment vertical="center"/>
    </xf>
    <xf numFmtId="164" fontId="10" fillId="22" borderId="0">
      <alignment vertical="center"/>
    </xf>
    <xf numFmtId="164" fontId="11" fillId="23" borderId="0">
      <alignment vertical="center"/>
    </xf>
    <xf numFmtId="164" fontId="11" fillId="24" borderId="0">
      <alignment vertical="center"/>
    </xf>
    <xf numFmtId="164" fontId="11" fillId="25" borderId="0">
      <alignment vertical="center"/>
    </xf>
    <xf numFmtId="164" fontId="15" fillId="2" borderId="0">
      <alignment horizontal="left" vertical="center"/>
    </xf>
    <xf numFmtId="164" fontId="16" fillId="2" borderId="0">
      <alignment vertical="center"/>
    </xf>
    <xf numFmtId="164" fontId="17" fillId="2" borderId="4">
      <alignment horizontal="center" vertical="center"/>
    </xf>
    <xf numFmtId="164" fontId="10" fillId="26" borderId="0">
      <alignment vertical="center"/>
    </xf>
    <xf numFmtId="164" fontId="10" fillId="27" borderId="0">
      <alignment vertical="center"/>
    </xf>
    <xf numFmtId="164" fontId="11" fillId="28" borderId="0">
      <alignment vertical="center"/>
    </xf>
    <xf numFmtId="164" fontId="11" fillId="29" borderId="0">
      <alignment vertical="center"/>
    </xf>
    <xf numFmtId="164" fontId="11" fillId="30" borderId="0">
      <alignment vertical="center"/>
    </xf>
    <xf numFmtId="5" fontId="4" fillId="31" borderId="5">
      <alignment vertical="center"/>
      <protection locked="0"/>
    </xf>
    <xf numFmtId="7" fontId="4" fillId="31" borderId="5">
      <alignment vertical="center"/>
      <protection locked="0"/>
    </xf>
    <xf numFmtId="164" fontId="4" fillId="31" borderId="5">
      <alignment vertical="center"/>
      <protection locked="0"/>
    </xf>
    <xf numFmtId="37" fontId="4" fillId="31" borderId="5">
      <alignment vertical="center"/>
      <protection locked="0"/>
    </xf>
    <xf numFmtId="166" fontId="4" fillId="31" borderId="5">
      <alignment vertical="center"/>
      <protection locked="0"/>
    </xf>
    <xf numFmtId="167" fontId="4" fillId="31" borderId="5">
      <alignment vertical="center"/>
      <protection locked="0"/>
    </xf>
    <xf numFmtId="168" fontId="4" fillId="31" borderId="5">
      <alignment vertical="center"/>
      <protection locked="0"/>
    </xf>
    <xf numFmtId="39" fontId="4" fillId="31" borderId="5">
      <alignment vertical="center"/>
      <protection locked="0"/>
    </xf>
    <xf numFmtId="169" fontId="4" fillId="31" borderId="5">
      <alignment vertical="center"/>
      <protection locked="0"/>
    </xf>
    <xf numFmtId="164" fontId="4" fillId="31" borderId="5">
      <alignment horizontal="left" vertical="top" wrapText="1" indent="1"/>
      <protection locked="0"/>
    </xf>
    <xf numFmtId="171" fontId="4" fillId="31" borderId="5">
      <alignment vertical="center"/>
      <protection locked="0"/>
    </xf>
    <xf numFmtId="172" fontId="4" fillId="31" borderId="5">
      <alignment vertical="center"/>
      <protection locked="0"/>
    </xf>
    <xf numFmtId="164" fontId="1" fillId="2" borderId="4">
      <alignment horizontal="left" vertical="center"/>
    </xf>
    <xf numFmtId="164" fontId="1" fillId="2" borderId="4">
      <alignment horizontal="left" vertical="center" indent="1" justifyLastLine="1"/>
    </xf>
    <xf numFmtId="164" fontId="2" fillId="2" borderId="4">
      <alignment horizontal="left" vertical="center"/>
    </xf>
    <xf numFmtId="164" fontId="1" fillId="2" borderId="4">
      <alignment horizontal="center" vertical="center" justifyLastLine="1"/>
    </xf>
    <xf numFmtId="0" fontId="73" fillId="0" borderId="0"/>
    <xf numFmtId="164" fontId="18" fillId="2" borderId="6">
      <alignment horizontal="left" vertical="center"/>
    </xf>
    <xf numFmtId="164" fontId="18" fillId="2" borderId="0">
      <alignment horizontal="left" vertical="center"/>
    </xf>
    <xf numFmtId="164" fontId="19" fillId="2" borderId="0">
      <alignment horizontal="center" vertical="center"/>
    </xf>
    <xf numFmtId="164" fontId="19" fillId="2" borderId="7">
      <alignment horizontal="center" vertical="center"/>
    </xf>
    <xf numFmtId="164" fontId="10" fillId="32" borderId="0">
      <alignment vertical="center"/>
    </xf>
    <xf numFmtId="164" fontId="10" fillId="33" borderId="0">
      <alignment vertical="center"/>
    </xf>
    <xf numFmtId="164" fontId="11" fillId="34" borderId="0">
      <alignment vertical="center"/>
    </xf>
    <xf numFmtId="164" fontId="11" fillId="35" borderId="0">
      <alignment vertical="center"/>
    </xf>
    <xf numFmtId="164" fontId="11" fillId="36" borderId="0">
      <alignment vertical="center"/>
    </xf>
    <xf numFmtId="164" fontId="10" fillId="37" borderId="0">
      <alignment vertical="center"/>
    </xf>
    <xf numFmtId="164" fontId="10" fillId="38" borderId="0">
      <alignment vertical="center"/>
    </xf>
    <xf numFmtId="164" fontId="11" fillId="39" borderId="0">
      <alignment vertical="center"/>
    </xf>
    <xf numFmtId="164" fontId="11" fillId="40" borderId="0">
      <alignment vertical="center"/>
    </xf>
    <xf numFmtId="164" fontId="11" fillId="41" borderId="0">
      <alignment vertical="center"/>
    </xf>
    <xf numFmtId="164" fontId="10" fillId="42" borderId="0">
      <alignment vertical="center"/>
    </xf>
    <xf numFmtId="5" fontId="20" fillId="42" borderId="0">
      <alignment vertical="center"/>
    </xf>
    <xf numFmtId="7" fontId="20" fillId="42" borderId="0">
      <alignment vertical="center"/>
    </xf>
    <xf numFmtId="164" fontId="20" fillId="42" borderId="0">
      <alignment vertical="center"/>
    </xf>
    <xf numFmtId="37" fontId="20" fillId="42" borderId="0">
      <alignment vertical="center"/>
    </xf>
    <xf numFmtId="166" fontId="20" fillId="42" borderId="0">
      <alignment vertical="center"/>
    </xf>
    <xf numFmtId="167" fontId="20" fillId="42" borderId="0">
      <alignment vertical="center"/>
    </xf>
    <xf numFmtId="168" fontId="20" fillId="42" borderId="0">
      <alignment vertical="center"/>
    </xf>
    <xf numFmtId="39" fontId="20" fillId="42" borderId="0">
      <alignment vertical="center"/>
    </xf>
    <xf numFmtId="169" fontId="20" fillId="42" borderId="0">
      <alignment vertical="center"/>
    </xf>
    <xf numFmtId="171" fontId="20" fillId="42" borderId="0">
      <alignment vertical="center"/>
    </xf>
    <xf numFmtId="172" fontId="20" fillId="42" borderId="0">
      <alignment vertical="center"/>
    </xf>
    <xf numFmtId="164" fontId="10" fillId="43" borderId="0">
      <alignment vertical="center"/>
    </xf>
    <xf numFmtId="164" fontId="11" fillId="44" borderId="0">
      <alignment vertical="center"/>
    </xf>
    <xf numFmtId="164" fontId="11" fillId="45" borderId="0">
      <alignment vertical="center"/>
    </xf>
    <xf numFmtId="164" fontId="11" fillId="46" borderId="0">
      <alignment vertical="center"/>
    </xf>
    <xf numFmtId="43" fontId="73" fillId="0" borderId="0" applyFont="0" applyFill="0" applyBorder="0" applyAlignment="0" applyProtection="0"/>
    <xf numFmtId="9" fontId="73" fillId="0" borderId="0" applyFont="0" applyFill="0" applyBorder="0" applyAlignment="0" applyProtection="0"/>
  </cellStyleXfs>
  <cellXfs count="456">
    <xf numFmtId="0" fontId="0" fillId="0" borderId="0" xfId="0" applyFill="1"/>
    <xf numFmtId="0" fontId="21" fillId="47" borderId="0" xfId="0" applyFont="1" applyFill="1" applyAlignment="1">
      <alignment horizontal="right"/>
    </xf>
    <xf numFmtId="0" fontId="22" fillId="48" borderId="0" xfId="0" applyFont="1" applyFill="1" applyBorder="1" applyProtection="1"/>
    <xf numFmtId="37" fontId="1" fillId="2" borderId="0" xfId="32">
      <alignment vertical="center"/>
    </xf>
    <xf numFmtId="0" fontId="23" fillId="49" borderId="8" xfId="0" applyFont="1" applyFill="1" applyBorder="1" applyProtection="1">
      <protection locked="0"/>
    </xf>
    <xf numFmtId="164" fontId="10" fillId="42" borderId="0" xfId="183">
      <alignment vertical="center"/>
    </xf>
    <xf numFmtId="164" fontId="1" fillId="2" borderId="0" xfId="31">
      <alignment vertical="center"/>
    </xf>
    <xf numFmtId="38" fontId="21" fillId="47" borderId="0" xfId="0" applyNumberFormat="1" applyFont="1" applyFill="1" applyBorder="1" applyAlignment="1"/>
    <xf numFmtId="0" fontId="24" fillId="50" borderId="0" xfId="0" applyFont="1" applyFill="1" applyBorder="1" applyProtection="1"/>
    <xf numFmtId="164" fontId="1" fillId="2" borderId="0" xfId="38">
      <alignment horizontal="left" vertical="center"/>
    </xf>
    <xf numFmtId="38" fontId="21" fillId="0" borderId="0" xfId="0" applyNumberFormat="1" applyFont="1" applyFill="1" applyBorder="1" applyAlignment="1"/>
    <xf numFmtId="0" fontId="23" fillId="49" borderId="8" xfId="0" applyNumberFormat="1" applyFont="1" applyFill="1" applyBorder="1" applyProtection="1">
      <protection locked="0"/>
    </xf>
    <xf numFmtId="49" fontId="23" fillId="49" borderId="8" xfId="0" applyNumberFormat="1" applyFont="1" applyFill="1" applyBorder="1" applyProtection="1">
      <protection locked="0"/>
    </xf>
    <xf numFmtId="164" fontId="10" fillId="38" borderId="0" xfId="179">
      <alignment vertical="center"/>
    </xf>
    <xf numFmtId="0" fontId="25" fillId="48" borderId="0" xfId="0" applyFont="1" applyFill="1" applyBorder="1" applyAlignment="1" applyProtection="1">
      <alignment horizontal="left"/>
    </xf>
    <xf numFmtId="164" fontId="10" fillId="10" borderId="0" xfId="115">
      <alignment vertical="center"/>
    </xf>
    <xf numFmtId="164" fontId="11" fillId="13" borderId="0" xfId="118">
      <alignment vertical="center"/>
    </xf>
    <xf numFmtId="164" fontId="11" fillId="11" borderId="0" xfId="116">
      <alignment vertical="center"/>
    </xf>
    <xf numFmtId="164" fontId="10" fillId="3" borderId="0" xfId="114">
      <alignment vertical="center"/>
    </xf>
    <xf numFmtId="164" fontId="5" fillId="4" borderId="0" xfId="63">
      <alignment horizontal="left" vertical="center"/>
    </xf>
    <xf numFmtId="164" fontId="11" fillId="12" borderId="0" xfId="117">
      <alignment vertical="center"/>
    </xf>
    <xf numFmtId="0" fontId="21" fillId="47" borderId="0" xfId="0" applyFont="1" applyFill="1" applyBorder="1"/>
    <xf numFmtId="0" fontId="26" fillId="51" borderId="0" xfId="0" applyFont="1" applyFill="1" applyProtection="1"/>
    <xf numFmtId="0" fontId="21" fillId="47" borderId="0" xfId="0" applyFont="1" applyFill="1" applyAlignment="1">
      <alignment horizontal="left"/>
    </xf>
    <xf numFmtId="0" fontId="27" fillId="52" borderId="0" xfId="0" applyFont="1" applyFill="1" applyBorder="1" applyProtection="1"/>
    <xf numFmtId="0" fontId="28" fillId="50" borderId="0" xfId="0" applyFont="1" applyFill="1" applyBorder="1" applyAlignment="1" applyProtection="1">
      <alignment horizontal="center"/>
    </xf>
    <xf numFmtId="0" fontId="29" fillId="49" borderId="8" xfId="0" applyNumberFormat="1" applyFont="1" applyFill="1" applyBorder="1" applyProtection="1">
      <protection locked="0"/>
    </xf>
    <xf numFmtId="0" fontId="28" fillId="50" borderId="0" xfId="0" applyFont="1" applyFill="1" applyBorder="1" applyAlignment="1" applyProtection="1">
      <alignment horizontal="center" vertical="center"/>
    </xf>
    <xf numFmtId="0" fontId="21" fillId="0" borderId="0" xfId="0" applyFont="1" applyFill="1"/>
    <xf numFmtId="39" fontId="21" fillId="47" borderId="0" xfId="0" applyNumberFormat="1" applyFont="1" applyFill="1"/>
    <xf numFmtId="164" fontId="8" fillId="2" borderId="0" xfId="88">
      <alignment vertical="center"/>
    </xf>
    <xf numFmtId="164" fontId="3" fillId="3" borderId="1" xfId="52">
      <alignment horizontal="left" vertical="center" indent="1" justifyLastLine="1"/>
    </xf>
    <xf numFmtId="37" fontId="4" fillId="2" borderId="1" xfId="106">
      <alignment vertical="center"/>
    </xf>
    <xf numFmtId="0" fontId="30" fillId="48" borderId="0" xfId="0" applyFont="1" applyFill="1" applyAlignment="1" applyProtection="1">
      <alignment horizontal="center" vertical="top"/>
    </xf>
    <xf numFmtId="0" fontId="31" fillId="0" borderId="0" xfId="0" applyFont="1" applyFill="1"/>
    <xf numFmtId="0" fontId="26" fillId="2" borderId="9" xfId="0" applyFont="1" applyFill="1" applyBorder="1" applyAlignment="1" applyProtection="1">
      <alignment horizontal="left" vertical="top" wrapText="1"/>
      <protection locked="0"/>
    </xf>
    <xf numFmtId="164" fontId="7" fillId="5" borderId="2" xfId="68">
      <alignment horizontal="center" vertical="center" wrapText="1"/>
    </xf>
    <xf numFmtId="0" fontId="23" fillId="49" borderId="8" xfId="0" applyFont="1" applyFill="1" applyBorder="1" applyAlignment="1" applyProtection="1">
      <alignment wrapText="1"/>
      <protection locked="0"/>
    </xf>
    <xf numFmtId="164" fontId="1" fillId="3" borderId="1" xfId="25">
      <alignment horizontal="left" vertical="center"/>
    </xf>
    <xf numFmtId="38" fontId="21" fillId="47" borderId="0" xfId="0" applyNumberFormat="1" applyFont="1" applyFill="1" applyAlignment="1">
      <alignment horizontal="left"/>
    </xf>
    <xf numFmtId="164" fontId="2" fillId="2" borderId="0" xfId="26">
      <alignment vertical="center"/>
    </xf>
    <xf numFmtId="164" fontId="21" fillId="47" borderId="0" xfId="0" applyNumberFormat="1" applyFont="1" applyFill="1"/>
    <xf numFmtId="0" fontId="33" fillId="48" borderId="0" xfId="0" applyFont="1" applyFill="1" applyBorder="1" applyAlignment="1" applyProtection="1">
      <alignment horizontal="center" vertical="center"/>
    </xf>
    <xf numFmtId="0" fontId="33" fillId="48" borderId="0" xfId="0" applyFont="1" applyFill="1" applyBorder="1" applyAlignment="1" applyProtection="1">
      <alignment horizontal="center"/>
    </xf>
    <xf numFmtId="0" fontId="34" fillId="49" borderId="8" xfId="0" applyNumberFormat="1" applyFont="1" applyFill="1" applyBorder="1" applyAlignment="1" applyProtection="1">
      <alignment vertical="top" wrapText="1"/>
      <protection locked="0"/>
    </xf>
    <xf numFmtId="0" fontId="26" fillId="2" borderId="9" xfId="0" applyFont="1" applyFill="1" applyBorder="1" applyAlignment="1" applyProtection="1">
      <alignment vertical="top" wrapText="1"/>
      <protection locked="0"/>
    </xf>
    <xf numFmtId="49" fontId="29" fillId="49" borderId="8" xfId="0" applyNumberFormat="1" applyFont="1" applyFill="1" applyBorder="1" applyProtection="1">
      <protection locked="0"/>
    </xf>
    <xf numFmtId="0" fontId="29" fillId="49" borderId="8" xfId="0" applyFont="1" applyFill="1" applyBorder="1" applyProtection="1">
      <protection locked="0"/>
    </xf>
    <xf numFmtId="0" fontId="35" fillId="0" borderId="0" xfId="0" applyFont="1" applyFill="1"/>
    <xf numFmtId="0" fontId="26" fillId="51" borderId="0" xfId="0" applyFont="1" applyFill="1" applyBorder="1" applyProtection="1"/>
    <xf numFmtId="49" fontId="36" fillId="51" borderId="0" xfId="0" applyNumberFormat="1" applyFont="1" applyFill="1" applyProtection="1"/>
    <xf numFmtId="0" fontId="37" fillId="0" borderId="10" xfId="0" applyFont="1" applyFill="1" applyBorder="1" applyAlignment="1">
      <alignment vertical="top"/>
    </xf>
    <xf numFmtId="38" fontId="21" fillId="47" borderId="0" xfId="0" applyNumberFormat="1" applyFont="1" applyFill="1"/>
    <xf numFmtId="0" fontId="22" fillId="48" borderId="0" xfId="0" applyFont="1" applyFill="1" applyProtection="1"/>
    <xf numFmtId="0" fontId="22" fillId="48" borderId="0" xfId="0" applyFont="1" applyFill="1" applyAlignment="1" applyProtection="1">
      <alignment horizontal="left" indent="1"/>
    </xf>
    <xf numFmtId="164" fontId="4" fillId="31" borderId="5" xfId="161">
      <alignment horizontal="left" vertical="top" wrapText="1" indent="1"/>
      <protection locked="0"/>
    </xf>
    <xf numFmtId="0" fontId="38" fillId="51" borderId="0" xfId="0" applyFont="1" applyFill="1" applyAlignment="1" applyProtection="1">
      <alignment horizontal="right" vertical="center"/>
    </xf>
    <xf numFmtId="0" fontId="39" fillId="52" borderId="0" xfId="0" applyFont="1" applyFill="1" applyAlignment="1" applyProtection="1">
      <alignment horizontal="center" vertical="top"/>
    </xf>
    <xf numFmtId="0" fontId="25" fillId="48" borderId="0" xfId="0" applyFont="1" applyFill="1" applyBorder="1" applyAlignment="1" applyProtection="1">
      <alignment horizontal="left" wrapText="1"/>
    </xf>
    <xf numFmtId="0" fontId="26" fillId="51" borderId="0" xfId="0" applyNumberFormat="1" applyFont="1" applyFill="1" applyProtection="1"/>
    <xf numFmtId="0" fontId="21" fillId="47" borderId="0" xfId="0" applyFont="1" applyFill="1"/>
    <xf numFmtId="39" fontId="1" fillId="2" borderId="0" xfId="36">
      <alignment vertical="center"/>
    </xf>
    <xf numFmtId="37" fontId="21" fillId="0" borderId="0" xfId="0" applyNumberFormat="1" applyFont="1" applyFill="1"/>
    <xf numFmtId="0" fontId="0" fillId="53" borderId="0" xfId="0" applyFill="1" applyBorder="1" applyAlignment="1">
      <alignment vertical="top"/>
    </xf>
    <xf numFmtId="1" fontId="40" fillId="0" borderId="0" xfId="0" applyNumberFormat="1" applyFont="1" applyFill="1"/>
    <xf numFmtId="0" fontId="0" fillId="0" borderId="12" xfId="0" applyFill="1" applyBorder="1" applyAlignment="1">
      <alignment vertical="top"/>
    </xf>
    <xf numFmtId="0" fontId="0" fillId="54" borderId="12" xfId="0" applyFill="1" applyBorder="1" applyAlignment="1">
      <alignment vertical="top"/>
    </xf>
    <xf numFmtId="0" fontId="21" fillId="47" borderId="0" xfId="0" applyFont="1" applyFill="1" applyBorder="1" applyAlignment="1">
      <alignment horizontal="right"/>
    </xf>
    <xf numFmtId="0" fontId="41" fillId="48" borderId="0" xfId="0" applyFont="1" applyFill="1" applyProtection="1"/>
    <xf numFmtId="0" fontId="0" fillId="53" borderId="0" xfId="0" applyFill="1" applyAlignment="1">
      <alignment vertical="top"/>
    </xf>
    <xf numFmtId="0" fontId="21" fillId="55" borderId="0" xfId="0" applyFont="1" applyFill="1"/>
    <xf numFmtId="168" fontId="1" fillId="2" borderId="0" xfId="35">
      <alignment vertical="center"/>
    </xf>
    <xf numFmtId="10" fontId="21" fillId="47" borderId="0" xfId="0" applyNumberFormat="1" applyFont="1" applyFill="1" applyAlignment="1">
      <alignment horizontal="right"/>
    </xf>
    <xf numFmtId="1" fontId="42" fillId="0" borderId="0" xfId="0" applyNumberFormat="1" applyFont="1" applyFill="1" applyBorder="1" applyAlignment="1" applyProtection="1">
      <alignment vertical="top"/>
    </xf>
    <xf numFmtId="0" fontId="37" fillId="0" borderId="0" xfId="0" applyFont="1" applyFill="1" applyAlignment="1">
      <alignment vertical="top"/>
    </xf>
    <xf numFmtId="0" fontId="0" fillId="0" borderId="13" xfId="0" applyFill="1" applyBorder="1" applyAlignment="1">
      <alignment vertical="top"/>
    </xf>
    <xf numFmtId="49" fontId="26" fillId="51" borderId="0" xfId="0" applyNumberFormat="1" applyFont="1" applyFill="1" applyAlignment="1" applyProtection="1">
      <alignment horizontal="left" vertical="top"/>
    </xf>
    <xf numFmtId="0" fontId="43" fillId="51" borderId="0" xfId="0" applyFont="1" applyFill="1" applyBorder="1" applyAlignment="1" applyProtection="1">
      <alignment horizontal="left"/>
    </xf>
    <xf numFmtId="0" fontId="21" fillId="47" borderId="0" xfId="0" applyFont="1" applyFill="1" applyBorder="1" applyAlignment="1">
      <alignment horizontal="left"/>
    </xf>
    <xf numFmtId="0" fontId="26" fillId="51" borderId="0" xfId="0" applyFont="1" applyFill="1" applyBorder="1" applyAlignment="1" applyProtection="1">
      <alignment horizontal="left" vertical="top" indent="1"/>
    </xf>
    <xf numFmtId="37" fontId="36" fillId="51" borderId="0" xfId="0" applyNumberFormat="1" applyFont="1" applyFill="1" applyProtection="1"/>
    <xf numFmtId="49" fontId="45" fillId="51" borderId="0" xfId="0" applyNumberFormat="1" applyFont="1" applyFill="1" applyAlignment="1" applyProtection="1">
      <alignment horizontal="left" vertical="top"/>
    </xf>
    <xf numFmtId="3" fontId="37" fillId="0" borderId="10" xfId="0" applyNumberFormat="1" applyFont="1" applyFill="1" applyBorder="1" applyAlignment="1">
      <alignment vertical="top"/>
    </xf>
    <xf numFmtId="0" fontId="23" fillId="49" borderId="8" xfId="0" applyFont="1" applyFill="1" applyBorder="1" applyProtection="1"/>
    <xf numFmtId="0" fontId="37" fillId="56" borderId="14" xfId="0" applyFont="1" applyFill="1" applyBorder="1" applyAlignment="1">
      <alignment horizontal="center" vertical="top"/>
    </xf>
    <xf numFmtId="0" fontId="26" fillId="49" borderId="8" xfId="0" applyFont="1" applyFill="1" applyBorder="1" applyProtection="1">
      <protection locked="0"/>
    </xf>
    <xf numFmtId="49" fontId="26" fillId="51" borderId="0" xfId="0" applyNumberFormat="1" applyFont="1" applyFill="1" applyBorder="1" applyProtection="1"/>
    <xf numFmtId="0" fontId="26" fillId="51" borderId="0" xfId="0" applyFont="1" applyFill="1" applyAlignment="1" applyProtection="1">
      <alignment vertical="top"/>
    </xf>
    <xf numFmtId="0" fontId="38" fillId="51" borderId="0" xfId="0" applyFont="1" applyFill="1" applyAlignment="1" applyProtection="1">
      <alignment vertical="top" wrapText="1"/>
      <protection locked="0"/>
    </xf>
    <xf numFmtId="0" fontId="37" fillId="56" borderId="15" xfId="0" applyFont="1" applyFill="1" applyBorder="1" applyAlignment="1">
      <alignment horizontal="center" vertical="top"/>
    </xf>
    <xf numFmtId="0" fontId="26" fillId="51" borderId="0" xfId="0" applyNumberFormat="1" applyFont="1" applyFill="1" applyBorder="1" applyProtection="1"/>
    <xf numFmtId="164" fontId="16" fillId="2" borderId="0" xfId="145">
      <alignment vertical="center"/>
    </xf>
    <xf numFmtId="0" fontId="37" fillId="56" borderId="16" xfId="0" applyFont="1" applyFill="1" applyBorder="1" applyAlignment="1">
      <alignment horizontal="left" vertical="top"/>
    </xf>
    <xf numFmtId="0" fontId="46" fillId="51" borderId="0" xfId="0" applyFont="1" applyFill="1" applyProtection="1"/>
    <xf numFmtId="0" fontId="37" fillId="56" borderId="17" xfId="0" applyFont="1" applyFill="1" applyBorder="1" applyAlignment="1">
      <alignment horizontal="left" vertical="top"/>
    </xf>
    <xf numFmtId="164" fontId="15" fillId="2" borderId="0" xfId="144">
      <alignment horizontal="left" vertical="center"/>
    </xf>
    <xf numFmtId="37" fontId="21" fillId="47" borderId="0" xfId="0" applyNumberFormat="1" applyFont="1" applyFill="1" applyBorder="1"/>
    <xf numFmtId="168" fontId="4" fillId="31" borderId="5" xfId="158">
      <alignment vertical="center"/>
      <protection locked="0"/>
    </xf>
    <xf numFmtId="0" fontId="22" fillId="48" borderId="0" xfId="0" applyFont="1" applyFill="1" applyAlignment="1" applyProtection="1"/>
    <xf numFmtId="0" fontId="26" fillId="51" borderId="0" xfId="0" applyNumberFormat="1" applyFont="1" applyFill="1" applyAlignment="1" applyProtection="1">
      <alignment vertical="top" wrapText="1"/>
      <protection locked="0"/>
    </xf>
    <xf numFmtId="0" fontId="25" fillId="48" borderId="0" xfId="0" applyFont="1" applyFill="1" applyBorder="1" applyAlignment="1" applyProtection="1">
      <alignment horizontal="center" vertical="top"/>
    </xf>
    <xf numFmtId="0" fontId="21" fillId="0" borderId="0" xfId="0" applyFont="1" applyFill="1" applyAlignment="1">
      <alignment horizontal="left"/>
    </xf>
    <xf numFmtId="0" fontId="49" fillId="48" borderId="0" xfId="0" applyFont="1" applyFill="1" applyAlignment="1" applyProtection="1">
      <alignment horizontal="right" vertical="center"/>
    </xf>
    <xf numFmtId="37" fontId="21" fillId="47" borderId="0" xfId="0" applyNumberFormat="1" applyFont="1" applyFill="1"/>
    <xf numFmtId="0" fontId="36" fillId="51" borderId="0" xfId="0" applyNumberFormat="1" applyFont="1" applyFill="1" applyProtection="1"/>
    <xf numFmtId="0" fontId="50" fillId="48" borderId="0" xfId="0" applyFont="1" applyFill="1" applyAlignment="1" applyProtection="1">
      <alignment horizontal="center" vertical="top"/>
    </xf>
    <xf numFmtId="37" fontId="21" fillId="0" borderId="0" xfId="0" applyNumberFormat="1" applyFont="1" applyFill="1" applyBorder="1"/>
    <xf numFmtId="0" fontId="51" fillId="0" borderId="0" xfId="0" applyFont="1" applyFill="1"/>
    <xf numFmtId="37" fontId="52" fillId="0" borderId="0" xfId="0" applyNumberFormat="1" applyFont="1" applyFill="1" applyBorder="1" applyAlignment="1">
      <alignment horizontal="right"/>
    </xf>
    <xf numFmtId="0" fontId="53" fillId="0" borderId="0" xfId="0" applyFont="1" applyFill="1"/>
    <xf numFmtId="0" fontId="54" fillId="0" borderId="0" xfId="0" applyFont="1" applyFill="1"/>
    <xf numFmtId="164" fontId="11" fillId="13" borderId="0" xfId="118" quotePrefix="1">
      <alignment vertical="center"/>
    </xf>
    <xf numFmtId="0" fontId="55" fillId="0" borderId="0" xfId="0" applyFont="1" applyFill="1"/>
    <xf numFmtId="0" fontId="31" fillId="47" borderId="0" xfId="0" applyFont="1" applyFill="1" applyBorder="1" applyAlignment="1">
      <alignment horizontal="left"/>
    </xf>
    <xf numFmtId="0" fontId="21" fillId="47" borderId="0" xfId="0" applyFont="1" applyFill="1" applyAlignment="1">
      <alignment horizontal="center"/>
    </xf>
    <xf numFmtId="0" fontId="38" fillId="51" borderId="0" xfId="0" applyFont="1" applyFill="1" applyBorder="1" applyAlignment="1" applyProtection="1">
      <alignment horizontal="right" vertical="center"/>
    </xf>
    <xf numFmtId="0" fontId="57" fillId="0" borderId="0" xfId="0" applyFont="1" applyFill="1" applyAlignment="1">
      <alignment vertical="top"/>
    </xf>
    <xf numFmtId="164" fontId="1" fillId="2" borderId="0" xfId="38" quotePrefix="1">
      <alignment horizontal="left" vertical="center"/>
    </xf>
    <xf numFmtId="165" fontId="36" fillId="51" borderId="0" xfId="0" applyNumberFormat="1" applyFont="1" applyFill="1" applyProtection="1"/>
    <xf numFmtId="0" fontId="36" fillId="51" borderId="0" xfId="0" applyFont="1" applyFill="1" applyAlignment="1" applyProtection="1">
      <alignment vertical="top"/>
    </xf>
    <xf numFmtId="0" fontId="37" fillId="53" borderId="0" xfId="0" applyFont="1" applyFill="1" applyAlignment="1">
      <alignment vertical="top"/>
    </xf>
    <xf numFmtId="0" fontId="26" fillId="51" borderId="0" xfId="0" applyNumberFormat="1" applyFont="1" applyFill="1" applyAlignment="1" applyProtection="1">
      <alignment vertical="top" wrapText="1"/>
    </xf>
    <xf numFmtId="164" fontId="5" fillId="2" borderId="0" xfId="86">
      <alignment vertical="center"/>
    </xf>
    <xf numFmtId="0" fontId="58" fillId="0" borderId="0" xfId="0" applyFont="1" applyFill="1"/>
    <xf numFmtId="37" fontId="31" fillId="49" borderId="0" xfId="0" applyNumberFormat="1" applyFont="1" applyFill="1" applyAlignment="1">
      <alignment horizontal="left" vertical="center"/>
    </xf>
    <xf numFmtId="0" fontId="38" fillId="51" borderId="11" xfId="0" applyFont="1" applyFill="1" applyBorder="1" applyAlignment="1" applyProtection="1">
      <alignment horizontal="left" vertical="top" wrapText="1"/>
      <protection locked="0"/>
    </xf>
    <xf numFmtId="165" fontId="26" fillId="51" borderId="0" xfId="0" applyNumberFormat="1" applyFont="1" applyFill="1" applyAlignment="1" applyProtection="1">
      <alignment horizontal="left"/>
    </xf>
    <xf numFmtId="0" fontId="60" fillId="51" borderId="0" xfId="0" applyFont="1" applyFill="1" applyAlignment="1" applyProtection="1">
      <alignment vertical="top"/>
    </xf>
    <xf numFmtId="0" fontId="36" fillId="2" borderId="9" xfId="0" applyFont="1" applyFill="1" applyBorder="1" applyAlignment="1" applyProtection="1">
      <alignment vertical="top" wrapText="1"/>
      <protection locked="0"/>
    </xf>
    <xf numFmtId="165" fontId="60" fillId="51" borderId="0" xfId="0" applyNumberFormat="1" applyFont="1" applyFill="1" applyAlignment="1" applyProtection="1">
      <alignment vertical="top"/>
    </xf>
    <xf numFmtId="0" fontId="35" fillId="0" borderId="0" xfId="0" applyFont="1" applyFill="1" applyBorder="1"/>
    <xf numFmtId="0" fontId="36" fillId="51" borderId="0" xfId="0" applyFont="1" applyFill="1" applyProtection="1"/>
    <xf numFmtId="0" fontId="31" fillId="0" borderId="0" xfId="0" applyFont="1" applyFill="1" applyAlignment="1">
      <alignment horizontal="left" indent="1"/>
    </xf>
    <xf numFmtId="0" fontId="21" fillId="51" borderId="0" xfId="0" applyFont="1" applyFill="1" applyAlignment="1" applyProtection="1">
      <alignment vertical="top"/>
    </xf>
    <xf numFmtId="0" fontId="61" fillId="51" borderId="0" xfId="0" applyNumberFormat="1" applyFont="1" applyFill="1" applyProtection="1"/>
    <xf numFmtId="0" fontId="21" fillId="0" borderId="0" xfId="0" applyFont="1" applyFill="1" applyProtection="1"/>
    <xf numFmtId="0" fontId="38" fillId="51" borderId="0" xfId="0" applyFont="1" applyFill="1" applyBorder="1" applyAlignment="1" applyProtection="1">
      <alignment horizontal="right" vertical="top"/>
    </xf>
    <xf numFmtId="1" fontId="21" fillId="0" borderId="0" xfId="0" applyNumberFormat="1" applyFont="1" applyFill="1"/>
    <xf numFmtId="0" fontId="26" fillId="51" borderId="0" xfId="0" applyFont="1" applyFill="1" applyAlignment="1" applyProtection="1">
      <alignment vertical="top" wrapText="1"/>
      <protection locked="0"/>
    </xf>
    <xf numFmtId="0" fontId="38" fillId="51" borderId="0" xfId="0" applyFont="1" applyFill="1" applyBorder="1" applyAlignment="1" applyProtection="1">
      <alignment horizontal="left"/>
    </xf>
    <xf numFmtId="0" fontId="62" fillId="0" borderId="0" xfId="0" applyFont="1" applyFill="1"/>
    <xf numFmtId="0" fontId="23" fillId="49" borderId="8" xfId="0" applyNumberFormat="1" applyFont="1" applyFill="1" applyBorder="1" applyProtection="1"/>
    <xf numFmtId="164" fontId="10" fillId="43" borderId="0" xfId="195">
      <alignment vertical="center"/>
    </xf>
    <xf numFmtId="37" fontId="52" fillId="0" borderId="0" xfId="0" applyNumberFormat="1" applyFont="1" applyFill="1" applyBorder="1" applyAlignment="1" applyProtection="1">
      <alignment horizontal="right"/>
    </xf>
    <xf numFmtId="0" fontId="38" fillId="51" borderId="0" xfId="0" applyFont="1" applyFill="1" applyBorder="1" applyAlignment="1" applyProtection="1">
      <alignment horizontal="left" indent="1"/>
    </xf>
    <xf numFmtId="0" fontId="26" fillId="51" borderId="0" xfId="0" applyNumberFormat="1" applyFont="1" applyFill="1" applyBorder="1" applyAlignment="1" applyProtection="1">
      <alignment vertical="top"/>
    </xf>
    <xf numFmtId="0" fontId="38" fillId="51" borderId="11" xfId="0" applyFont="1" applyFill="1" applyBorder="1" applyAlignment="1" applyProtection="1">
      <alignment horizontal="left" indent="1"/>
    </xf>
    <xf numFmtId="0" fontId="37" fillId="0" borderId="0" xfId="0" applyFont="1" applyFill="1" applyBorder="1" applyAlignment="1">
      <alignment vertical="top"/>
    </xf>
    <xf numFmtId="0" fontId="21" fillId="0" borderId="0" xfId="0" applyFont="1" applyFill="1" applyAlignment="1"/>
    <xf numFmtId="0" fontId="26" fillId="51" borderId="0" xfId="0" applyNumberFormat="1" applyFont="1" applyFill="1" applyAlignment="1" applyProtection="1">
      <alignment vertical="top"/>
    </xf>
    <xf numFmtId="0" fontId="21" fillId="55" borderId="0" xfId="0" applyFont="1" applyFill="1" applyAlignment="1">
      <alignment horizontal="right"/>
    </xf>
    <xf numFmtId="0" fontId="38" fillId="51" borderId="0" xfId="0" applyFont="1" applyFill="1" applyBorder="1" applyAlignment="1" applyProtection="1">
      <alignment horizontal="left" vertical="top" indent="1"/>
    </xf>
    <xf numFmtId="0" fontId="63" fillId="0" borderId="0" xfId="0" applyFont="1" applyFill="1" applyAlignment="1">
      <alignment horizontal="left" indent="2"/>
    </xf>
    <xf numFmtId="0" fontId="61" fillId="51" borderId="0" xfId="0" applyNumberFormat="1" applyFont="1" applyFill="1" applyBorder="1" applyProtection="1"/>
    <xf numFmtId="0" fontId="26" fillId="51" borderId="0" xfId="0" applyFont="1" applyFill="1" applyBorder="1" applyAlignment="1" applyProtection="1">
      <alignment vertical="top" wrapText="1"/>
    </xf>
    <xf numFmtId="37" fontId="65" fillId="0" borderId="0" xfId="0" applyNumberFormat="1" applyFont="1" applyFill="1" applyBorder="1"/>
    <xf numFmtId="0" fontId="37" fillId="53" borderId="0" xfId="0" applyFont="1" applyFill="1" applyAlignment="1">
      <alignment horizontal="left" vertical="top"/>
    </xf>
    <xf numFmtId="0" fontId="26" fillId="2" borderId="18" xfId="0" applyFont="1" applyFill="1" applyBorder="1" applyAlignment="1" applyProtection="1">
      <alignment vertical="top" wrapText="1"/>
      <protection locked="0"/>
    </xf>
    <xf numFmtId="0" fontId="21" fillId="0" borderId="0" xfId="0" applyFont="1" applyFill="1" applyAlignment="1">
      <alignment horizontal="left" indent="2"/>
    </xf>
    <xf numFmtId="165" fontId="36" fillId="51" borderId="0" xfId="0" applyNumberFormat="1" applyFont="1" applyFill="1" applyAlignment="1" applyProtection="1">
      <alignment vertical="top"/>
    </xf>
    <xf numFmtId="0" fontId="26" fillId="49" borderId="8" xfId="0" applyFont="1" applyFill="1" applyBorder="1" applyAlignment="1" applyProtection="1">
      <alignment wrapText="1"/>
      <protection locked="0"/>
    </xf>
    <xf numFmtId="0" fontId="37" fillId="0" borderId="0" xfId="0" applyFont="1" applyFill="1" applyAlignment="1">
      <alignment horizontal="center" vertical="top"/>
    </xf>
    <xf numFmtId="0" fontId="0" fillId="0" borderId="0" xfId="0" applyFill="1" applyBorder="1" applyAlignment="1">
      <alignment vertical="top"/>
    </xf>
    <xf numFmtId="0" fontId="26" fillId="2" borderId="18" xfId="0" applyFont="1" applyFill="1" applyBorder="1" applyAlignment="1" applyProtection="1">
      <alignment horizontal="left" vertical="top" wrapText="1"/>
      <protection locked="0"/>
    </xf>
    <xf numFmtId="0" fontId="37" fillId="56" borderId="0" xfId="0" applyFont="1" applyFill="1" applyAlignment="1">
      <alignment vertical="top"/>
    </xf>
    <xf numFmtId="49" fontId="38" fillId="51" borderId="0" xfId="0" applyNumberFormat="1" applyFont="1" applyFill="1" applyBorder="1" applyAlignment="1" applyProtection="1">
      <alignment horizontal="left" indent="1"/>
    </xf>
    <xf numFmtId="0" fontId="26" fillId="51" borderId="0" xfId="0" applyFont="1" applyFill="1" applyAlignment="1" applyProtection="1">
      <alignment vertical="top" wrapText="1"/>
    </xf>
    <xf numFmtId="0" fontId="38" fillId="51" borderId="0" xfId="0" applyFont="1" applyFill="1" applyBorder="1" applyAlignment="1" applyProtection="1">
      <alignment horizontal="left" wrapText="1"/>
    </xf>
    <xf numFmtId="37" fontId="40" fillId="0" borderId="0" xfId="0" applyNumberFormat="1" applyFont="1" applyFill="1" applyBorder="1" applyAlignment="1">
      <alignment horizontal="right"/>
    </xf>
    <xf numFmtId="0" fontId="37" fillId="56" borderId="0" xfId="0" applyFont="1" applyFill="1" applyAlignment="1">
      <alignment horizontal="centerContinuous" vertical="top"/>
    </xf>
    <xf numFmtId="164" fontId="8" fillId="2" borderId="0" xfId="88" quotePrefix="1">
      <alignment vertical="center"/>
    </xf>
    <xf numFmtId="0" fontId="21" fillId="47" borderId="19" xfId="0" applyFont="1" applyFill="1" applyBorder="1"/>
    <xf numFmtId="165" fontId="26" fillId="51" borderId="0" xfId="0" applyNumberFormat="1" applyFont="1" applyFill="1" applyAlignment="1" applyProtection="1">
      <alignment horizontal="left" vertical="top"/>
    </xf>
    <xf numFmtId="0" fontId="66" fillId="51" borderId="0" xfId="0" applyFont="1" applyFill="1" applyBorder="1" applyAlignment="1" applyProtection="1">
      <alignment horizontal="left" vertical="top"/>
    </xf>
    <xf numFmtId="164" fontId="11" fillId="12" borderId="0" xfId="117" quotePrefix="1">
      <alignment vertical="center"/>
    </xf>
    <xf numFmtId="0" fontId="31" fillId="0" borderId="0" xfId="0" applyFont="1" applyFill="1" applyBorder="1" applyAlignment="1">
      <alignment horizontal="center"/>
    </xf>
    <xf numFmtId="0" fontId="31" fillId="47" borderId="0" xfId="0" applyFont="1" applyFill="1"/>
    <xf numFmtId="0" fontId="37" fillId="57" borderId="13" xfId="0" applyFont="1" applyFill="1" applyBorder="1" applyAlignment="1">
      <alignment horizontal="center" vertical="top"/>
    </xf>
    <xf numFmtId="0" fontId="0" fillId="0" borderId="13" xfId="0" applyFill="1" applyBorder="1" applyAlignment="1">
      <alignment horizontal="center" vertical="top"/>
    </xf>
    <xf numFmtId="0" fontId="38" fillId="51" borderId="0" xfId="0" applyFont="1" applyFill="1" applyBorder="1" applyAlignment="1" applyProtection="1">
      <alignment vertical="top" wrapText="1"/>
      <protection locked="0"/>
    </xf>
    <xf numFmtId="37" fontId="4" fillId="4" borderId="0" xfId="56">
      <alignment horizontal="center" vertical="center"/>
    </xf>
    <xf numFmtId="0" fontId="37" fillId="0" borderId="20" xfId="0" applyFont="1" applyFill="1" applyBorder="1" applyAlignment="1">
      <alignment vertical="top"/>
    </xf>
    <xf numFmtId="0" fontId="61" fillId="51" borderId="0" xfId="0" applyNumberFormat="1" applyFont="1" applyFill="1" applyAlignment="1" applyProtection="1">
      <alignment vertical="top" wrapText="1"/>
      <protection locked="0"/>
    </xf>
    <xf numFmtId="0" fontId="67" fillId="0" borderId="0" xfId="0" applyFont="1" applyFill="1"/>
    <xf numFmtId="0" fontId="36" fillId="51" borderId="0" xfId="0" applyNumberFormat="1" applyFont="1" applyFill="1" applyAlignment="1" applyProtection="1">
      <alignment vertical="top" wrapText="1"/>
      <protection locked="0"/>
    </xf>
    <xf numFmtId="165" fontId="26" fillId="51" borderId="0" xfId="0" applyNumberFormat="1" applyFont="1" applyFill="1" applyBorder="1" applyAlignment="1" applyProtection="1">
      <alignment horizontal="left"/>
    </xf>
    <xf numFmtId="37" fontId="68" fillId="0" borderId="0" xfId="0" applyNumberFormat="1" applyFont="1" applyFill="1" applyBorder="1"/>
    <xf numFmtId="0" fontId="31" fillId="47" borderId="0" xfId="0" applyFont="1" applyFill="1" applyBorder="1"/>
    <xf numFmtId="1" fontId="21" fillId="58" borderId="0" xfId="0" applyNumberFormat="1" applyFont="1" applyFill="1"/>
    <xf numFmtId="0" fontId="36" fillId="51" borderId="0" xfId="0" applyFont="1" applyFill="1" applyAlignment="1" applyProtection="1">
      <alignment vertical="top" wrapText="1"/>
      <protection locked="0"/>
    </xf>
    <xf numFmtId="0" fontId="37" fillId="56" borderId="21" xfId="0" applyFont="1" applyFill="1" applyBorder="1" applyAlignment="1">
      <alignment horizontal="center" vertical="top"/>
    </xf>
    <xf numFmtId="0" fontId="38" fillId="51" borderId="0" xfId="0" applyFont="1" applyFill="1" applyBorder="1" applyAlignment="1" applyProtection="1">
      <alignment horizontal="center" vertical="top"/>
    </xf>
    <xf numFmtId="0" fontId="70" fillId="56" borderId="22" xfId="0" applyFont="1" applyFill="1" applyBorder="1" applyAlignment="1">
      <alignment horizontal="left" vertical="top"/>
    </xf>
    <xf numFmtId="0" fontId="0" fillId="53" borderId="23" xfId="0" applyFill="1" applyBorder="1" applyAlignment="1">
      <alignment vertical="top"/>
    </xf>
    <xf numFmtId="0" fontId="71" fillId="47" borderId="0" xfId="0" applyFont="1" applyFill="1" applyBorder="1" applyAlignment="1">
      <alignment horizontal="left"/>
    </xf>
    <xf numFmtId="0" fontId="37" fillId="56" borderId="0" xfId="0" applyFont="1" applyFill="1" applyAlignment="1">
      <alignment horizontal="left" vertical="top"/>
    </xf>
    <xf numFmtId="0" fontId="37" fillId="0" borderId="0" xfId="0" applyFont="1" applyFill="1" applyAlignment="1">
      <alignment horizontal="left" vertical="top"/>
    </xf>
    <xf numFmtId="0" fontId="26" fillId="51" borderId="0" xfId="0" applyFont="1" applyFill="1" applyBorder="1" applyAlignment="1" applyProtection="1">
      <alignment horizontal="left" vertical="top"/>
    </xf>
    <xf numFmtId="0" fontId="69" fillId="0" borderId="0" xfId="0" applyFont="1" applyFill="1" applyAlignment="1">
      <alignment horizontal="left" indent="1"/>
    </xf>
    <xf numFmtId="0" fontId="0" fillId="0" borderId="10" xfId="0" applyFill="1" applyBorder="1" applyAlignment="1">
      <alignment vertical="top"/>
    </xf>
    <xf numFmtId="0" fontId="31" fillId="0" borderId="0" xfId="0" applyFont="1" applyFill="1" applyBorder="1" applyAlignment="1">
      <alignment vertical="center"/>
    </xf>
    <xf numFmtId="0" fontId="72" fillId="56" borderId="0" xfId="0" applyFont="1" applyFill="1" applyAlignment="1">
      <alignment horizontal="left" vertical="top"/>
    </xf>
    <xf numFmtId="0" fontId="21" fillId="0" borderId="0" xfId="0" quotePrefix="1" applyFont="1" applyFill="1"/>
    <xf numFmtId="0" fontId="36" fillId="51" borderId="0" xfId="0" applyNumberFormat="1" applyFont="1" applyFill="1" applyBorder="1" applyProtection="1"/>
    <xf numFmtId="0" fontId="37" fillId="0" borderId="20" xfId="0" applyFont="1" applyFill="1" applyBorder="1" applyAlignment="1">
      <alignment horizontal="left" vertical="top"/>
    </xf>
    <xf numFmtId="0" fontId="69" fillId="0" borderId="0" xfId="0" applyFont="1" applyFill="1" applyAlignment="1">
      <alignment horizontal="right"/>
    </xf>
    <xf numFmtId="0" fontId="43" fillId="51" borderId="0" xfId="0" applyFont="1" applyFill="1" applyAlignment="1" applyProtection="1">
      <alignment horizontal="left" vertical="top"/>
    </xf>
    <xf numFmtId="0" fontId="10" fillId="42" borderId="0" xfId="183" applyNumberFormat="1">
      <alignment vertical="center"/>
    </xf>
    <xf numFmtId="0" fontId="38" fillId="51" borderId="0" xfId="0" applyNumberFormat="1" applyFont="1" applyFill="1" applyBorder="1" applyAlignment="1" applyProtection="1">
      <alignment horizontal="left" indent="1"/>
    </xf>
    <xf numFmtId="0" fontId="37" fillId="53" borderId="20" xfId="0" applyFont="1" applyFill="1" applyBorder="1" applyAlignment="1">
      <alignment vertical="top"/>
    </xf>
    <xf numFmtId="0" fontId="63" fillId="0" borderId="0" xfId="0" applyFont="1" applyFill="1" applyAlignment="1">
      <alignment horizontal="left" indent="1"/>
    </xf>
    <xf numFmtId="0" fontId="0" fillId="0" borderId="12" xfId="0" applyFill="1" applyBorder="1"/>
    <xf numFmtId="164" fontId="74" fillId="3" borderId="0" xfId="114" quotePrefix="1" applyFont="1">
      <alignment vertical="center"/>
    </xf>
    <xf numFmtId="0" fontId="25" fillId="48" borderId="0" xfId="168" applyFont="1" applyFill="1" applyAlignment="1" applyProtection="1">
      <alignment horizontal="left" vertical="center"/>
    </xf>
    <xf numFmtId="0" fontId="25" fillId="48" borderId="0" xfId="168" applyFont="1" applyFill="1" applyAlignment="1" applyProtection="1">
      <alignment horizontal="center" vertical="center"/>
    </xf>
    <xf numFmtId="0" fontId="25" fillId="48" borderId="0" xfId="168" applyFont="1" applyFill="1" applyAlignment="1" applyProtection="1">
      <alignment horizontal="right" vertical="center"/>
    </xf>
    <xf numFmtId="0" fontId="49" fillId="48" borderId="0" xfId="168" applyFont="1" applyFill="1" applyAlignment="1" applyProtection="1">
      <alignment horizontal="right" vertical="center"/>
    </xf>
    <xf numFmtId="0" fontId="23" fillId="49" borderId="8" xfId="168" applyFont="1" applyFill="1" applyBorder="1" applyProtection="1">
      <protection locked="0"/>
    </xf>
    <xf numFmtId="0" fontId="23" fillId="48" borderId="24" xfId="168" applyFont="1" applyFill="1" applyBorder="1" applyProtection="1"/>
    <xf numFmtId="0" fontId="25" fillId="48" borderId="0" xfId="168" applyFont="1" applyFill="1" applyAlignment="1" applyProtection="1">
      <alignment horizontal="left" indent="1"/>
    </xf>
    <xf numFmtId="0" fontId="22" fillId="48" borderId="0" xfId="168" applyFont="1" applyFill="1" applyProtection="1"/>
    <xf numFmtId="0" fontId="41" fillId="48" borderId="0" xfId="168" applyFont="1" applyFill="1" applyProtection="1"/>
    <xf numFmtId="0" fontId="22" fillId="48" borderId="0" xfId="168" applyFont="1" applyFill="1" applyAlignment="1" applyProtection="1"/>
    <xf numFmtId="0" fontId="25" fillId="48" borderId="0" xfId="168" applyFont="1" applyFill="1" applyBorder="1" applyAlignment="1" applyProtection="1">
      <alignment horizontal="center" vertical="top"/>
    </xf>
    <xf numFmtId="0" fontId="22" fillId="48" borderId="0" xfId="168" applyFont="1" applyFill="1" applyAlignment="1" applyProtection="1">
      <alignment horizontal="left" vertical="top"/>
    </xf>
    <xf numFmtId="0" fontId="59" fillId="48" borderId="0" xfId="168" applyFont="1" applyFill="1" applyProtection="1"/>
    <xf numFmtId="0" fontId="30" fillId="48" borderId="0" xfId="168" applyFont="1" applyFill="1" applyAlignment="1" applyProtection="1">
      <alignment horizontal="center" vertical="top"/>
    </xf>
    <xf numFmtId="0" fontId="56" fillId="48" borderId="0" xfId="168" applyFont="1" applyFill="1" applyProtection="1"/>
    <xf numFmtId="0" fontId="23" fillId="49" borderId="8" xfId="168" applyFont="1" applyFill="1" applyBorder="1" applyProtection="1"/>
    <xf numFmtId="0" fontId="22" fillId="48" borderId="0" xfId="168" applyFont="1" applyFill="1" applyAlignment="1" applyProtection="1">
      <alignment horizontal="left" indent="3"/>
    </xf>
    <xf numFmtId="0" fontId="56" fillId="48" borderId="0" xfId="168" applyFont="1" applyFill="1" applyAlignment="1" applyProtection="1">
      <alignment horizontal="left" indent="3"/>
    </xf>
    <xf numFmtId="49" fontId="23" fillId="49" borderId="8" xfId="168" applyNumberFormat="1" applyFont="1" applyFill="1" applyBorder="1" applyProtection="1">
      <protection locked="0"/>
    </xf>
    <xf numFmtId="49" fontId="22" fillId="48" borderId="0" xfId="168" applyNumberFormat="1" applyFont="1" applyFill="1" applyProtection="1"/>
    <xf numFmtId="0" fontId="22" fillId="48" borderId="0" xfId="168" applyFont="1" applyFill="1" applyAlignment="1" applyProtection="1">
      <alignment horizontal="left" indent="1"/>
    </xf>
    <xf numFmtId="0" fontId="25" fillId="48" borderId="0" xfId="168" applyFont="1" applyFill="1" applyProtection="1"/>
    <xf numFmtId="0" fontId="25" fillId="49" borderId="8" xfId="168" applyFont="1" applyFill="1" applyBorder="1" applyProtection="1">
      <protection locked="0"/>
    </xf>
    <xf numFmtId="0" fontId="50" fillId="48" borderId="0" xfId="168" applyFont="1" applyFill="1" applyAlignment="1" applyProtection="1">
      <alignment horizontal="center" vertical="top"/>
    </xf>
    <xf numFmtId="0" fontId="23" fillId="49" borderId="8" xfId="168" applyFont="1" applyFill="1" applyBorder="1" applyAlignment="1" applyProtection="1">
      <alignment wrapText="1"/>
      <protection locked="0"/>
    </xf>
    <xf numFmtId="0" fontId="25" fillId="48" borderId="0" xfId="168" applyFont="1" applyFill="1" applyBorder="1" applyAlignment="1" applyProtection="1">
      <alignment horizontal="left" vertical="top" wrapText="1"/>
    </xf>
    <xf numFmtId="0" fontId="48" fillId="52" borderId="11" xfId="168" applyFont="1" applyFill="1" applyBorder="1" applyAlignment="1" applyProtection="1">
      <alignment horizontal="left" indent="1"/>
    </xf>
    <xf numFmtId="0" fontId="27" fillId="52" borderId="0" xfId="168" applyFont="1" applyFill="1" applyBorder="1" applyProtection="1"/>
    <xf numFmtId="0" fontId="39" fillId="52" borderId="0" xfId="168" applyFont="1" applyFill="1" applyAlignment="1" applyProtection="1">
      <alignment horizontal="center" vertical="top"/>
    </xf>
    <xf numFmtId="0" fontId="27" fillId="52" borderId="0" xfId="168" applyFont="1" applyFill="1" applyProtection="1"/>
    <xf numFmtId="0" fontId="25" fillId="48" borderId="11" xfId="168" applyFont="1" applyFill="1" applyBorder="1" applyAlignment="1" applyProtection="1">
      <alignment horizontal="left" indent="1"/>
    </xf>
    <xf numFmtId="0" fontId="22" fillId="48" borderId="0" xfId="168" applyFont="1" applyFill="1" applyBorder="1" applyProtection="1"/>
    <xf numFmtId="0" fontId="25" fillId="48" borderId="0" xfId="168" applyFont="1" applyFill="1" applyBorder="1" applyAlignment="1" applyProtection="1">
      <alignment horizontal="left" vertical="top" indent="1"/>
    </xf>
    <xf numFmtId="0" fontId="25" fillId="48" borderId="0" xfId="168" applyFont="1" applyFill="1" applyBorder="1" applyAlignment="1" applyProtection="1">
      <alignment horizontal="left"/>
    </xf>
    <xf numFmtId="0" fontId="32" fillId="48" borderId="0" xfId="168" applyFont="1" applyFill="1" applyBorder="1" applyAlignment="1" applyProtection="1">
      <alignment horizontal="left" vertical="top" indent="1"/>
    </xf>
    <xf numFmtId="0" fontId="23" fillId="49" borderId="8" xfId="168" applyNumberFormat="1" applyFont="1" applyFill="1" applyBorder="1" applyProtection="1">
      <protection locked="0"/>
    </xf>
    <xf numFmtId="0" fontId="22" fillId="48" borderId="0" xfId="168" applyFont="1" applyFill="1" applyBorder="1" applyAlignment="1" applyProtection="1">
      <alignment horizontal="left" vertical="top" indent="1"/>
    </xf>
    <xf numFmtId="0" fontId="25" fillId="48" borderId="11" xfId="168" applyFont="1" applyFill="1" applyBorder="1" applyAlignment="1" applyProtection="1">
      <alignment horizontal="left" vertical="center" indent="1"/>
    </xf>
    <xf numFmtId="0" fontId="22" fillId="48" borderId="0" xfId="168" applyFont="1" applyFill="1" applyBorder="1" applyAlignment="1" applyProtection="1">
      <alignment horizontal="left" vertical="top"/>
    </xf>
    <xf numFmtId="0" fontId="25" fillId="48" borderId="0" xfId="168" applyFont="1" applyFill="1" applyBorder="1" applyAlignment="1" applyProtection="1">
      <alignment horizontal="left" wrapText="1"/>
    </xf>
    <xf numFmtId="0" fontId="34" fillId="49" borderId="8" xfId="168" applyNumberFormat="1" applyFont="1" applyFill="1" applyBorder="1" applyAlignment="1" applyProtection="1">
      <alignment vertical="top" wrapText="1"/>
      <protection locked="0"/>
    </xf>
    <xf numFmtId="0" fontId="30" fillId="48" borderId="0" xfId="168" applyFont="1" applyFill="1" applyBorder="1" applyAlignment="1" applyProtection="1">
      <alignment horizontal="left" vertical="top" wrapText="1"/>
    </xf>
    <xf numFmtId="0" fontId="22" fillId="48" borderId="0" xfId="168" applyFont="1" applyFill="1" applyBorder="1" applyAlignment="1" applyProtection="1">
      <alignment horizontal="left" vertical="top" wrapText="1"/>
    </xf>
    <xf numFmtId="0" fontId="32" fillId="48" borderId="0" xfId="168" applyFont="1" applyFill="1" applyBorder="1" applyProtection="1"/>
    <xf numFmtId="0" fontId="25" fillId="48" borderId="0" xfId="168" applyFont="1" applyFill="1" applyBorder="1" applyAlignment="1" applyProtection="1">
      <alignment horizontal="left" vertical="top" indent="3"/>
    </xf>
    <xf numFmtId="0" fontId="22" fillId="48" borderId="0" xfId="168" applyFont="1" applyFill="1" applyBorder="1" applyAlignment="1" applyProtection="1">
      <alignment horizontal="left" vertical="top" indent="5"/>
    </xf>
    <xf numFmtId="49" fontId="22" fillId="48" borderId="0" xfId="168" applyNumberFormat="1" applyFont="1" applyFill="1" applyBorder="1" applyProtection="1"/>
    <xf numFmtId="0" fontId="47" fillId="50" borderId="11" xfId="168" applyFont="1" applyFill="1" applyBorder="1" applyAlignment="1" applyProtection="1">
      <alignment horizontal="left" indent="1"/>
    </xf>
    <xf numFmtId="0" fontId="24" fillId="50" borderId="0" xfId="168" applyFont="1" applyFill="1" applyBorder="1" applyProtection="1"/>
    <xf numFmtId="0" fontId="24" fillId="50" borderId="0" xfId="168" applyFont="1" applyFill="1" applyBorder="1" applyAlignment="1" applyProtection="1">
      <alignment horizontal="left" vertical="top" indent="1"/>
    </xf>
    <xf numFmtId="49" fontId="29" fillId="49" borderId="8" xfId="168" applyNumberFormat="1" applyFont="1" applyFill="1" applyBorder="1" applyProtection="1">
      <protection locked="0"/>
    </xf>
    <xf numFmtId="49" fontId="24" fillId="50" borderId="0" xfId="168" applyNumberFormat="1" applyFont="1" applyFill="1" applyBorder="1" applyProtection="1"/>
    <xf numFmtId="0" fontId="24" fillId="50" borderId="0" xfId="168" applyFont="1" applyFill="1" applyProtection="1"/>
    <xf numFmtId="0" fontId="28" fillId="50" borderId="0" xfId="168" applyFont="1" applyFill="1" applyBorder="1" applyAlignment="1" applyProtection="1">
      <alignment horizontal="center" vertical="center"/>
    </xf>
    <xf numFmtId="0" fontId="28" fillId="50" borderId="0" xfId="168" applyFont="1" applyFill="1" applyBorder="1" applyAlignment="1" applyProtection="1">
      <alignment horizontal="center"/>
    </xf>
    <xf numFmtId="0" fontId="29" fillId="49" borderId="8" xfId="168" applyNumberFormat="1" applyFont="1" applyFill="1" applyBorder="1" applyProtection="1">
      <protection locked="0"/>
    </xf>
    <xf numFmtId="0" fontId="24" fillId="50" borderId="0" xfId="168" applyFont="1" applyFill="1" applyBorder="1" applyAlignment="1" applyProtection="1">
      <alignment horizontal="left" vertical="top" indent="7"/>
    </xf>
    <xf numFmtId="0" fontId="29" fillId="49" borderId="8" xfId="168" applyFont="1" applyFill="1" applyBorder="1" applyProtection="1">
      <protection locked="0"/>
    </xf>
    <xf numFmtId="0" fontId="44" fillId="50" borderId="0" xfId="168" applyFont="1" applyFill="1" applyBorder="1" applyProtection="1"/>
    <xf numFmtId="0" fontId="24" fillId="50" borderId="0" xfId="168" applyFont="1" applyFill="1" applyBorder="1" applyAlignment="1" applyProtection="1">
      <alignment horizontal="left" vertical="top" indent="5"/>
    </xf>
    <xf numFmtId="0" fontId="22" fillId="48" borderId="0" xfId="168" applyFont="1" applyFill="1" applyBorder="1" applyAlignment="1" applyProtection="1">
      <alignment horizontal="left" vertical="top" indent="2"/>
    </xf>
    <xf numFmtId="0" fontId="33" fillId="48" borderId="0" xfId="168" applyFont="1" applyFill="1" applyBorder="1" applyAlignment="1" applyProtection="1">
      <alignment horizontal="center" vertical="center"/>
    </xf>
    <xf numFmtId="0" fontId="33" fillId="48" borderId="0" xfId="168" applyFont="1" applyFill="1" applyBorder="1" applyAlignment="1" applyProtection="1">
      <alignment horizontal="center"/>
    </xf>
    <xf numFmtId="0" fontId="64" fillId="48" borderId="0" xfId="168" applyFont="1" applyFill="1" applyAlignment="1" applyProtection="1">
      <alignment horizontal="centerContinuous"/>
    </xf>
    <xf numFmtId="0" fontId="75" fillId="47" borderId="0" xfId="0" applyNumberFormat="1" applyFont="1" applyFill="1"/>
    <xf numFmtId="0" fontId="37" fillId="0" borderId="10" xfId="0" applyNumberFormat="1" applyFont="1" applyFill="1" applyBorder="1" applyAlignment="1">
      <alignment vertical="top"/>
    </xf>
    <xf numFmtId="164" fontId="10" fillId="3" borderId="25" xfId="114" applyBorder="1">
      <alignment vertical="center"/>
    </xf>
    <xf numFmtId="37" fontId="1" fillId="2" borderId="25" xfId="32" applyBorder="1">
      <alignment vertical="center"/>
    </xf>
    <xf numFmtId="164" fontId="10" fillId="10" borderId="25" xfId="115" applyBorder="1">
      <alignment vertical="center"/>
    </xf>
    <xf numFmtId="164" fontId="11" fillId="11" borderId="25" xfId="116" applyBorder="1">
      <alignment vertical="center"/>
    </xf>
    <xf numFmtId="164" fontId="11" fillId="12" borderId="25" xfId="117" applyBorder="1">
      <alignment vertical="center"/>
    </xf>
    <xf numFmtId="164" fontId="11" fillId="13" borderId="25" xfId="118" applyBorder="1">
      <alignment vertical="center"/>
    </xf>
    <xf numFmtId="0" fontId="21" fillId="47" borderId="25" xfId="0" applyFont="1" applyFill="1" applyBorder="1" applyAlignment="1">
      <alignment horizontal="right"/>
    </xf>
    <xf numFmtId="164" fontId="10" fillId="38" borderId="25" xfId="179" applyBorder="1">
      <alignment vertical="center"/>
    </xf>
    <xf numFmtId="0" fontId="21" fillId="47" borderId="25" xfId="0" applyFont="1" applyFill="1" applyBorder="1"/>
    <xf numFmtId="164" fontId="1" fillId="2" borderId="25" xfId="38" applyBorder="1">
      <alignment horizontal="left" vertical="center"/>
    </xf>
    <xf numFmtId="164" fontId="1" fillId="2" borderId="25" xfId="31" applyBorder="1">
      <alignment vertical="center"/>
    </xf>
    <xf numFmtId="164" fontId="10" fillId="42" borderId="25" xfId="183" applyBorder="1">
      <alignment vertical="center"/>
    </xf>
    <xf numFmtId="37" fontId="4" fillId="2" borderId="26" xfId="106" applyBorder="1">
      <alignment vertical="center"/>
    </xf>
    <xf numFmtId="38" fontId="21" fillId="47" borderId="25" xfId="0" applyNumberFormat="1" applyFont="1" applyFill="1" applyBorder="1"/>
    <xf numFmtId="164" fontId="21" fillId="47" borderId="25" xfId="0" applyNumberFormat="1" applyFont="1" applyFill="1" applyBorder="1"/>
    <xf numFmtId="41" fontId="1" fillId="2" borderId="0" xfId="31" applyNumberFormat="1">
      <alignment vertical="center"/>
    </xf>
    <xf numFmtId="41" fontId="1" fillId="2" borderId="0" xfId="37" applyNumberFormat="1">
      <alignment vertical="center"/>
    </xf>
    <xf numFmtId="0" fontId="48" fillId="52" borderId="11" xfId="0" applyFont="1" applyFill="1" applyBorder="1" applyAlignment="1">
      <alignment horizontal="left" indent="1"/>
    </xf>
    <xf numFmtId="0" fontId="27" fillId="52" borderId="0" xfId="0" applyFont="1" applyFill="1"/>
    <xf numFmtId="0" fontId="39" fillId="52" borderId="0" xfId="0" applyFont="1" applyFill="1" applyAlignment="1">
      <alignment horizontal="center" vertical="top"/>
    </xf>
    <xf numFmtId="0" fontId="25" fillId="48" borderId="11" xfId="0" applyFont="1" applyFill="1" applyBorder="1" applyAlignment="1">
      <alignment horizontal="left" indent="1"/>
    </xf>
    <xf numFmtId="0" fontId="22" fillId="48" borderId="0" xfId="0" applyFont="1" applyFill="1"/>
    <xf numFmtId="0" fontId="30" fillId="48" borderId="0" xfId="0" applyFont="1" applyFill="1" applyAlignment="1">
      <alignment horizontal="center" vertical="top"/>
    </xf>
    <xf numFmtId="0" fontId="25" fillId="48" borderId="0" xfId="0" applyFont="1" applyFill="1" applyAlignment="1">
      <alignment horizontal="left" vertical="top" indent="1"/>
    </xf>
    <xf numFmtId="0" fontId="25" fillId="48" borderId="0" xfId="0" applyFont="1" applyFill="1" applyAlignment="1">
      <alignment horizontal="left"/>
    </xf>
    <xf numFmtId="0" fontId="32" fillId="48" borderId="0" xfId="0" applyFont="1" applyFill="1" applyAlignment="1">
      <alignment horizontal="left" vertical="top" indent="1"/>
    </xf>
    <xf numFmtId="0" fontId="22" fillId="48" borderId="0" xfId="0" applyFont="1" applyFill="1" applyAlignment="1">
      <alignment horizontal="left" vertical="top" indent="1"/>
    </xf>
    <xf numFmtId="0" fontId="25" fillId="48" borderId="11" xfId="0" applyFont="1" applyFill="1" applyBorder="1" applyAlignment="1">
      <alignment horizontal="left" vertical="center" indent="1"/>
    </xf>
    <xf numFmtId="0" fontId="22" fillId="48" borderId="0" xfId="0" applyFont="1" applyFill="1" applyAlignment="1">
      <alignment horizontal="left" vertical="top"/>
    </xf>
    <xf numFmtId="0" fontId="25" fillId="48" borderId="0" xfId="0" applyFont="1" applyFill="1" applyAlignment="1">
      <alignment horizontal="left" wrapText="1"/>
    </xf>
    <xf numFmtId="0" fontId="34" fillId="49" borderId="8" xfId="0" applyFont="1" applyFill="1" applyBorder="1" applyAlignment="1" applyProtection="1">
      <alignment vertical="top" wrapText="1"/>
      <protection locked="0"/>
    </xf>
    <xf numFmtId="0" fontId="30" fillId="48" borderId="0" xfId="0" applyFont="1" applyFill="1" applyAlignment="1">
      <alignment horizontal="left" vertical="top" wrapText="1"/>
    </xf>
    <xf numFmtId="0" fontId="22" fillId="48" borderId="0" xfId="0" applyFont="1" applyFill="1" applyAlignment="1">
      <alignment horizontal="left" vertical="top" wrapText="1"/>
    </xf>
    <xf numFmtId="0" fontId="32" fillId="48" borderId="0" xfId="0" applyFont="1" applyFill="1"/>
    <xf numFmtId="0" fontId="25" fillId="48" borderId="0" xfId="0" applyFont="1" applyFill="1" applyAlignment="1">
      <alignment horizontal="left" vertical="top" indent="3"/>
    </xf>
    <xf numFmtId="0" fontId="22" fillId="48" borderId="0" xfId="0" applyFont="1" applyFill="1" applyAlignment="1">
      <alignment horizontal="left" vertical="top" indent="5"/>
    </xf>
    <xf numFmtId="49" fontId="22" fillId="48" borderId="0" xfId="0" applyNumberFormat="1" applyFont="1" applyFill="1"/>
    <xf numFmtId="0" fontId="47" fillId="50" borderId="11" xfId="0" applyFont="1" applyFill="1" applyBorder="1" applyAlignment="1">
      <alignment horizontal="left" indent="1"/>
    </xf>
    <xf numFmtId="0" fontId="24" fillId="50" borderId="0" xfId="0" applyFont="1" applyFill="1"/>
    <xf numFmtId="0" fontId="24" fillId="50" borderId="0" xfId="0" applyFont="1" applyFill="1" applyAlignment="1">
      <alignment horizontal="left" vertical="top" indent="1"/>
    </xf>
    <xf numFmtId="49" fontId="24" fillId="50" borderId="0" xfId="0" applyNumberFormat="1" applyFont="1" applyFill="1"/>
    <xf numFmtId="0" fontId="28" fillId="50" borderId="0" xfId="0" applyFont="1" applyFill="1" applyAlignment="1">
      <alignment horizontal="center" vertical="center"/>
    </xf>
    <xf numFmtId="0" fontId="28" fillId="50" borderId="0" xfId="0" applyFont="1" applyFill="1" applyAlignment="1">
      <alignment horizontal="center"/>
    </xf>
    <xf numFmtId="0" fontId="24" fillId="50" borderId="0" xfId="0" applyFont="1" applyFill="1" applyAlignment="1">
      <alignment horizontal="left" vertical="top" indent="7"/>
    </xf>
    <xf numFmtId="0" fontId="44" fillId="50" borderId="0" xfId="0" applyFont="1" applyFill="1"/>
    <xf numFmtId="0" fontId="24" fillId="50" borderId="0" xfId="0" applyFont="1" applyFill="1" applyAlignment="1">
      <alignment horizontal="left" vertical="top" indent="5"/>
    </xf>
    <xf numFmtId="0" fontId="22" fillId="48" borderId="0" xfId="0" applyFont="1" applyFill="1" applyAlignment="1">
      <alignment horizontal="left" vertical="top" indent="2"/>
    </xf>
    <xf numFmtId="0" fontId="33" fillId="48" borderId="0" xfId="0" applyFont="1" applyFill="1" applyAlignment="1">
      <alignment horizontal="center" vertical="center"/>
    </xf>
    <xf numFmtId="0" fontId="33" fillId="48" borderId="0" xfId="0" applyFont="1" applyFill="1" applyAlignment="1">
      <alignment horizontal="center"/>
    </xf>
    <xf numFmtId="164" fontId="2" fillId="2" borderId="0" xfId="38" applyFont="1">
      <alignment horizontal="left" vertical="center"/>
    </xf>
    <xf numFmtId="41" fontId="21" fillId="47" borderId="25" xfId="0" applyNumberFormat="1" applyFont="1" applyFill="1" applyBorder="1"/>
    <xf numFmtId="41" fontId="21" fillId="47" borderId="0" xfId="0" applyNumberFormat="1" applyFont="1" applyFill="1"/>
    <xf numFmtId="0" fontId="4" fillId="4" borderId="0" xfId="56" applyNumberFormat="1">
      <alignment horizontal="center" vertical="center"/>
    </xf>
    <xf numFmtId="164" fontId="10" fillId="42" borderId="0" xfId="183" applyAlignment="1">
      <alignment horizontal="center" vertical="center"/>
    </xf>
    <xf numFmtId="164" fontId="1" fillId="55" borderId="0" xfId="38" applyFill="1">
      <alignment horizontal="left" vertical="center"/>
    </xf>
    <xf numFmtId="164" fontId="1" fillId="55" borderId="0" xfId="31" applyFill="1">
      <alignment vertical="center"/>
    </xf>
    <xf numFmtId="39" fontId="21" fillId="59" borderId="0" xfId="0" applyNumberFormat="1" applyFont="1" applyFill="1"/>
    <xf numFmtId="0" fontId="21" fillId="59" borderId="0" xfId="0" applyFont="1" applyFill="1"/>
    <xf numFmtId="0" fontId="21" fillId="59" borderId="0" xfId="0" applyFont="1" applyFill="1" applyBorder="1"/>
    <xf numFmtId="164" fontId="10" fillId="59" borderId="0" xfId="183" applyFill="1">
      <alignment vertical="center"/>
    </xf>
    <xf numFmtId="0" fontId="21" fillId="59" borderId="0" xfId="0" applyFont="1" applyFill="1" applyAlignment="1">
      <alignment horizontal="center"/>
    </xf>
    <xf numFmtId="164" fontId="1" fillId="59" borderId="0" xfId="31" applyFill="1">
      <alignment vertical="center"/>
    </xf>
    <xf numFmtId="37" fontId="1" fillId="59" borderId="0" xfId="32" applyFill="1">
      <alignment vertical="center"/>
    </xf>
    <xf numFmtId="38" fontId="21" fillId="59" borderId="0" xfId="0" applyNumberFormat="1" applyFont="1" applyFill="1"/>
    <xf numFmtId="164" fontId="21" fillId="59" borderId="0" xfId="0" applyNumberFormat="1" applyFont="1" applyFill="1"/>
    <xf numFmtId="164" fontId="10" fillId="59" borderId="0" xfId="183" applyFill="1" applyAlignment="1">
      <alignment horizontal="center" vertical="center"/>
    </xf>
    <xf numFmtId="164" fontId="78" fillId="38" borderId="0" xfId="179" applyFont="1">
      <alignment vertical="center"/>
    </xf>
    <xf numFmtId="164" fontId="78" fillId="42" borderId="0" xfId="183" applyFont="1">
      <alignment vertical="center"/>
    </xf>
    <xf numFmtId="164" fontId="76" fillId="5" borderId="2" xfId="68" applyFont="1">
      <alignment horizontal="center" vertical="center" wrapText="1"/>
    </xf>
    <xf numFmtId="164" fontId="78" fillId="59" borderId="0" xfId="183" applyFont="1" applyFill="1" applyAlignment="1">
      <alignment horizontal="center" vertical="center"/>
    </xf>
    <xf numFmtId="164" fontId="78" fillId="42" borderId="0" xfId="183" applyFont="1" applyAlignment="1">
      <alignment horizontal="center" vertical="center"/>
    </xf>
    <xf numFmtId="164" fontId="78" fillId="42" borderId="25" xfId="183" applyFont="1" applyBorder="1">
      <alignment vertical="center"/>
    </xf>
    <xf numFmtId="164" fontId="78" fillId="42" borderId="25" xfId="183" applyFont="1" applyBorder="1" applyAlignment="1">
      <alignment horizontal="center" vertical="center"/>
    </xf>
    <xf numFmtId="37" fontId="1" fillId="60" borderId="0" xfId="32" applyFill="1">
      <alignment vertical="center"/>
    </xf>
    <xf numFmtId="0" fontId="21" fillId="60" borderId="0" xfId="0" applyFont="1" applyFill="1"/>
    <xf numFmtId="0" fontId="21" fillId="60" borderId="0" xfId="0" applyFont="1" applyFill="1" applyBorder="1"/>
    <xf numFmtId="164" fontId="1" fillId="60" borderId="0" xfId="38" applyFill="1">
      <alignment horizontal="left" vertical="center"/>
    </xf>
    <xf numFmtId="164" fontId="1" fillId="60" borderId="0" xfId="31" applyFill="1">
      <alignment vertical="center"/>
    </xf>
    <xf numFmtId="41" fontId="1" fillId="60" borderId="0" xfId="31" applyNumberFormat="1" applyFill="1">
      <alignment vertical="center"/>
    </xf>
    <xf numFmtId="164" fontId="10" fillId="60" borderId="0" xfId="183" applyFill="1">
      <alignment vertical="center"/>
    </xf>
    <xf numFmtId="164" fontId="78" fillId="60" borderId="0" xfId="183" applyFont="1" applyFill="1">
      <alignment vertical="center"/>
    </xf>
    <xf numFmtId="164" fontId="78" fillId="60" borderId="0" xfId="183" applyFont="1" applyFill="1" applyAlignment="1">
      <alignment horizontal="center" vertical="center"/>
    </xf>
    <xf numFmtId="37" fontId="4" fillId="60" borderId="1" xfId="106" applyFill="1">
      <alignment vertical="center"/>
    </xf>
    <xf numFmtId="38" fontId="21" fillId="60" borderId="0" xfId="0" applyNumberFormat="1" applyFont="1" applyFill="1"/>
    <xf numFmtId="164" fontId="21" fillId="60" borderId="0" xfId="0" applyNumberFormat="1" applyFont="1" applyFill="1"/>
    <xf numFmtId="37" fontId="1" fillId="55" borderId="0" xfId="32" applyFill="1">
      <alignment vertical="center"/>
    </xf>
    <xf numFmtId="0" fontId="21" fillId="55" borderId="0" xfId="0" applyFont="1" applyFill="1" applyBorder="1"/>
    <xf numFmtId="41" fontId="1" fillId="55" borderId="0" xfId="31" applyNumberFormat="1" applyFill="1">
      <alignment vertical="center"/>
    </xf>
    <xf numFmtId="164" fontId="10" fillId="55" borderId="0" xfId="183" applyFill="1">
      <alignment vertical="center"/>
    </xf>
    <xf numFmtId="164" fontId="78" fillId="55" borderId="0" xfId="183" applyFont="1" applyFill="1">
      <alignment vertical="center"/>
    </xf>
    <xf numFmtId="164" fontId="78" fillId="55" borderId="0" xfId="183" applyFont="1" applyFill="1" applyAlignment="1">
      <alignment horizontal="center" vertical="center"/>
    </xf>
    <xf numFmtId="37" fontId="4" fillId="55" borderId="1" xfId="106" applyFill="1">
      <alignment vertical="center"/>
    </xf>
    <xf numFmtId="38" fontId="21" fillId="55" borderId="0" xfId="0" applyNumberFormat="1" applyFont="1" applyFill="1"/>
    <xf numFmtId="164" fontId="21" fillId="55" borderId="0" xfId="0" applyNumberFormat="1" applyFont="1" applyFill="1"/>
    <xf numFmtId="43" fontId="10" fillId="3" borderId="0" xfId="114" applyNumberFormat="1">
      <alignment vertical="center"/>
    </xf>
    <xf numFmtId="43" fontId="1" fillId="59" borderId="0" xfId="36" applyNumberFormat="1" applyFill="1">
      <alignment vertical="center"/>
    </xf>
    <xf numFmtId="43" fontId="1" fillId="2" borderId="0" xfId="36" applyNumberFormat="1">
      <alignment vertical="center"/>
    </xf>
    <xf numFmtId="43" fontId="10" fillId="10" borderId="0" xfId="115" applyNumberFormat="1">
      <alignment vertical="center"/>
    </xf>
    <xf numFmtId="43" fontId="11" fillId="11" borderId="0" xfId="116" applyNumberFormat="1">
      <alignment vertical="center"/>
    </xf>
    <xf numFmtId="43" fontId="11" fillId="12" borderId="0" xfId="117" applyNumberFormat="1">
      <alignment vertical="center"/>
    </xf>
    <xf numFmtId="43" fontId="11" fillId="13" borderId="0" xfId="118" applyNumberFormat="1">
      <alignment vertical="center"/>
    </xf>
    <xf numFmtId="43" fontId="21" fillId="59" borderId="0" xfId="0" applyNumberFormat="1" applyFont="1" applyFill="1"/>
    <xf numFmtId="43" fontId="21" fillId="47" borderId="0" xfId="0" applyNumberFormat="1" applyFont="1" applyFill="1"/>
    <xf numFmtId="0" fontId="21" fillId="61" borderId="0" xfId="0" applyFont="1" applyFill="1"/>
    <xf numFmtId="0" fontId="21" fillId="61" borderId="0" xfId="0" applyFont="1" applyFill="1" applyBorder="1"/>
    <xf numFmtId="164" fontId="1" fillId="61" borderId="0" xfId="38" applyFill="1">
      <alignment horizontal="left" vertical="center"/>
    </xf>
    <xf numFmtId="164" fontId="1" fillId="61" borderId="0" xfId="31" applyFill="1">
      <alignment vertical="center"/>
    </xf>
    <xf numFmtId="41" fontId="1" fillId="61" borderId="0" xfId="31" applyNumberFormat="1" applyFill="1">
      <alignment vertical="center"/>
    </xf>
    <xf numFmtId="164" fontId="10" fillId="61" borderId="0" xfId="183" applyFill="1">
      <alignment vertical="center"/>
    </xf>
    <xf numFmtId="164" fontId="78" fillId="61" borderId="0" xfId="183" applyFont="1" applyFill="1">
      <alignment vertical="center"/>
    </xf>
    <xf numFmtId="164" fontId="78" fillId="61" borderId="0" xfId="183" applyFont="1" applyFill="1" applyAlignment="1">
      <alignment horizontal="center" vertical="center"/>
    </xf>
    <xf numFmtId="37" fontId="4" fillId="61" borderId="1" xfId="106" applyFill="1">
      <alignment vertical="center"/>
    </xf>
    <xf numFmtId="38" fontId="21" fillId="61" borderId="0" xfId="0" applyNumberFormat="1" applyFont="1" applyFill="1"/>
    <xf numFmtId="164" fontId="21" fillId="61" borderId="0" xfId="0" applyNumberFormat="1" applyFont="1" applyFill="1"/>
    <xf numFmtId="41" fontId="1" fillId="2" borderId="0" xfId="36" applyNumberFormat="1" applyAlignment="1">
      <alignment horizontal="center" vertical="center"/>
    </xf>
    <xf numFmtId="164" fontId="10" fillId="10" borderId="0" xfId="115" applyAlignment="1">
      <alignment horizontal="center" vertical="center"/>
    </xf>
    <xf numFmtId="164" fontId="11" fillId="11" borderId="0" xfId="116" applyAlignment="1">
      <alignment horizontal="center" vertical="center"/>
    </xf>
    <xf numFmtId="164" fontId="11" fillId="12" borderId="0" xfId="117" applyAlignment="1">
      <alignment horizontal="center" vertical="center"/>
    </xf>
    <xf numFmtId="164" fontId="11" fillId="13" borderId="0" xfId="118" applyAlignment="1">
      <alignment horizontal="center" vertical="center"/>
    </xf>
    <xf numFmtId="39" fontId="1" fillId="2" borderId="0" xfId="37" applyNumberFormat="1">
      <alignment vertical="center"/>
    </xf>
    <xf numFmtId="37" fontId="1" fillId="2" borderId="0" xfId="32" quotePrefix="1">
      <alignment vertical="center"/>
    </xf>
    <xf numFmtId="164" fontId="10" fillId="0" borderId="0" xfId="183" applyFill="1">
      <alignment vertical="center"/>
    </xf>
    <xf numFmtId="173" fontId="10" fillId="0" borderId="0" xfId="199" applyNumberFormat="1" applyFont="1" applyFill="1" applyAlignment="1">
      <alignment vertical="center"/>
    </xf>
    <xf numFmtId="173" fontId="21" fillId="55" borderId="28" xfId="199" applyNumberFormat="1" applyFont="1" applyFill="1" applyBorder="1"/>
    <xf numFmtId="173" fontId="21" fillId="61" borderId="28" xfId="199" applyNumberFormat="1" applyFont="1" applyFill="1" applyBorder="1"/>
    <xf numFmtId="173" fontId="21" fillId="60" borderId="28" xfId="199" applyNumberFormat="1" applyFont="1" applyFill="1" applyBorder="1"/>
    <xf numFmtId="173" fontId="21" fillId="55" borderId="27" xfId="199" applyNumberFormat="1" applyFont="1" applyFill="1" applyBorder="1"/>
    <xf numFmtId="0" fontId="1" fillId="2" borderId="0" xfId="35" applyNumberFormat="1">
      <alignment vertical="center"/>
    </xf>
    <xf numFmtId="164" fontId="10" fillId="62" borderId="0" xfId="183" applyFill="1">
      <alignment vertical="center"/>
    </xf>
    <xf numFmtId="37" fontId="52" fillId="62" borderId="0" xfId="0" applyNumberFormat="1" applyFont="1" applyFill="1" applyBorder="1" applyAlignment="1">
      <alignment horizontal="right"/>
    </xf>
    <xf numFmtId="164" fontId="15" fillId="62" borderId="0" xfId="144" applyFill="1">
      <alignment horizontal="left" vertical="center"/>
    </xf>
    <xf numFmtId="37" fontId="21" fillId="62" borderId="0" xfId="0" applyNumberFormat="1" applyFont="1" applyFill="1" applyBorder="1"/>
    <xf numFmtId="37" fontId="21" fillId="62" borderId="0" xfId="0" applyNumberFormat="1" applyFont="1" applyFill="1"/>
    <xf numFmtId="0" fontId="21" fillId="62" borderId="0" xfId="0" applyFont="1" applyFill="1"/>
    <xf numFmtId="164" fontId="10" fillId="57" borderId="0" xfId="183" applyFill="1">
      <alignment vertical="center"/>
    </xf>
    <xf numFmtId="37" fontId="52" fillId="57" borderId="0" xfId="0" applyNumberFormat="1" applyFont="1" applyFill="1" applyBorder="1" applyAlignment="1">
      <alignment horizontal="right"/>
    </xf>
    <xf numFmtId="0" fontId="21" fillId="57" borderId="0" xfId="0" applyFont="1" applyFill="1"/>
    <xf numFmtId="164" fontId="79" fillId="62" borderId="0" xfId="144" applyFont="1" applyFill="1">
      <alignment horizontal="left" vertical="center"/>
    </xf>
    <xf numFmtId="0" fontId="80" fillId="57" borderId="0" xfId="0" applyFont="1" applyFill="1"/>
    <xf numFmtId="43" fontId="1" fillId="2" borderId="0" xfId="36" quotePrefix="1" applyNumberFormat="1">
      <alignment vertical="center"/>
    </xf>
    <xf numFmtId="41" fontId="1" fillId="2" borderId="0" xfId="32" applyNumberFormat="1">
      <alignment vertical="center"/>
    </xf>
    <xf numFmtId="41" fontId="1" fillId="2" borderId="0" xfId="32" quotePrefix="1" applyNumberFormat="1">
      <alignment vertical="center"/>
    </xf>
    <xf numFmtId="41" fontId="3" fillId="3" borderId="1" xfId="46" applyNumberFormat="1">
      <alignment vertical="center"/>
    </xf>
    <xf numFmtId="41" fontId="21" fillId="47" borderId="0" xfId="0" applyNumberFormat="1" applyFont="1" applyFill="1" applyBorder="1" applyAlignment="1"/>
    <xf numFmtId="41" fontId="5" fillId="4" borderId="0" xfId="63" applyNumberFormat="1">
      <alignment horizontal="left" vertical="center"/>
    </xf>
    <xf numFmtId="41" fontId="21" fillId="0" borderId="0" xfId="0" applyNumberFormat="1" applyFont="1" applyFill="1" applyBorder="1" applyAlignment="1"/>
    <xf numFmtId="43" fontId="3" fillId="3" borderId="1" xfId="46" applyNumberFormat="1">
      <alignment vertical="center"/>
    </xf>
    <xf numFmtId="0" fontId="69" fillId="49" borderId="0" xfId="0" applyFont="1" applyFill="1"/>
    <xf numFmtId="0" fontId="21" fillId="49" borderId="0" xfId="0" applyFont="1" applyFill="1"/>
    <xf numFmtId="0" fontId="21" fillId="49" borderId="0" xfId="0" applyFont="1" applyFill="1" applyAlignment="1">
      <alignment horizontal="right"/>
    </xf>
    <xf numFmtId="164" fontId="10" fillId="3" borderId="0" xfId="114" applyAlignment="1">
      <alignment horizontal="center" vertical="center"/>
    </xf>
    <xf numFmtId="164" fontId="21" fillId="47" borderId="0" xfId="0" applyNumberFormat="1" applyFont="1" applyFill="1" applyAlignment="1">
      <alignment horizontal="center"/>
    </xf>
    <xf numFmtId="164" fontId="10" fillId="38" borderId="0" xfId="179" applyAlignment="1">
      <alignment horizontal="center" vertical="center"/>
    </xf>
    <xf numFmtId="0" fontId="21" fillId="47" borderId="0" xfId="0" applyFont="1" applyFill="1" applyBorder="1" applyAlignment="1">
      <alignment horizontal="center"/>
    </xf>
    <xf numFmtId="0" fontId="31" fillId="0" borderId="0" xfId="0" applyFont="1" applyFill="1" applyAlignment="1">
      <alignment horizontal="center"/>
    </xf>
    <xf numFmtId="164" fontId="2" fillId="2" borderId="0" xfId="26" applyFont="1" applyAlignment="1">
      <alignment horizontal="center" vertical="center"/>
    </xf>
    <xf numFmtId="37" fontId="1" fillId="2" borderId="0" xfId="32" applyAlignment="1">
      <alignment horizontal="center" vertical="center"/>
    </xf>
    <xf numFmtId="38" fontId="21" fillId="47" borderId="0" xfId="0" applyNumberFormat="1" applyFont="1" applyFill="1" applyAlignment="1">
      <alignment horizontal="center"/>
    </xf>
    <xf numFmtId="41" fontId="2" fillId="2" borderId="0" xfId="31" applyNumberFormat="1" applyFont="1">
      <alignment vertical="center"/>
    </xf>
    <xf numFmtId="41" fontId="2" fillId="2" borderId="0" xfId="37" applyNumberFormat="1" applyFont="1">
      <alignment vertical="center"/>
    </xf>
    <xf numFmtId="0" fontId="31" fillId="47" borderId="0" xfId="0" applyFont="1" applyFill="1" applyAlignment="1">
      <alignment horizontal="center"/>
    </xf>
    <xf numFmtId="0" fontId="31" fillId="59" borderId="0" xfId="0" applyFont="1" applyFill="1"/>
    <xf numFmtId="173" fontId="78" fillId="0" borderId="0" xfId="199" applyNumberFormat="1" applyFont="1" applyFill="1" applyAlignment="1">
      <alignment vertical="center"/>
    </xf>
    <xf numFmtId="41" fontId="2" fillId="55" borderId="0" xfId="31" applyNumberFormat="1" applyFont="1" applyFill="1">
      <alignment vertical="center"/>
    </xf>
    <xf numFmtId="41" fontId="2" fillId="61" borderId="0" xfId="31" applyNumberFormat="1" applyFont="1" applyFill="1">
      <alignment vertical="center"/>
    </xf>
    <xf numFmtId="41" fontId="2" fillId="60" borderId="0" xfId="31" applyNumberFormat="1" applyFont="1" applyFill="1">
      <alignment vertical="center"/>
    </xf>
    <xf numFmtId="0" fontId="31" fillId="47" borderId="25" xfId="0" applyFont="1" applyFill="1" applyBorder="1"/>
    <xf numFmtId="10" fontId="78" fillId="42" borderId="0" xfId="200" applyNumberFormat="1" applyFont="1" applyFill="1" applyAlignment="1">
      <alignment vertical="center"/>
    </xf>
    <xf numFmtId="174" fontId="21" fillId="47" borderId="0" xfId="200" applyNumberFormat="1" applyFont="1" applyFill="1" applyBorder="1" applyAlignment="1"/>
    <xf numFmtId="164" fontId="10" fillId="10" borderId="0" xfId="115" applyAlignment="1">
      <alignment horizontal="left" vertical="center"/>
    </xf>
    <xf numFmtId="164" fontId="1" fillId="2" borderId="0" xfId="31" applyAlignment="1">
      <alignment horizontal="left" vertical="center"/>
    </xf>
    <xf numFmtId="164" fontId="11" fillId="11" borderId="0" xfId="116" applyAlignment="1">
      <alignment horizontal="left" vertical="center"/>
    </xf>
    <xf numFmtId="164" fontId="11" fillId="12" borderId="0" xfId="117" applyAlignment="1">
      <alignment horizontal="left" vertical="center"/>
    </xf>
    <xf numFmtId="164" fontId="11" fillId="13" borderId="0" xfId="118" applyAlignment="1">
      <alignment horizontal="left" vertical="center"/>
    </xf>
    <xf numFmtId="164" fontId="5" fillId="0" borderId="0" xfId="86" applyFill="1">
      <alignment vertical="center"/>
    </xf>
    <xf numFmtId="0" fontId="81" fillId="0" borderId="0" xfId="0" applyFont="1" applyFill="1" applyAlignment="1">
      <alignment vertical="center"/>
    </xf>
    <xf numFmtId="0" fontId="23" fillId="55" borderId="8" xfId="168" applyFont="1" applyFill="1" applyBorder="1" applyProtection="1"/>
  </cellXfs>
  <cellStyles count="201">
    <cellStyle name="00 Blk Hdr (A)" xfId="1" xr:uid="{00000000-0005-0000-0000-000000000000}"/>
    <cellStyle name="00 Blk Rcd ($0)" xfId="2" xr:uid="{00000000-0005-0000-0000-000001000000}"/>
    <cellStyle name="00 Blk Rcd ($0.00)" xfId="3" xr:uid="{00000000-0005-0000-0000-000002000000}"/>
    <cellStyle name="00 Blk Rcd (0)" xfId="4" xr:uid="{00000000-0005-0000-0000-000003000000}"/>
    <cellStyle name="00 Blk Rcd (0,)" xfId="5" xr:uid="{00000000-0005-0000-0000-000004000000}"/>
    <cellStyle name="00 Blk Rcd (0.0%)" xfId="6" xr:uid="{00000000-0005-0000-0000-000005000000}"/>
    <cellStyle name="00 Blk Rcd (0.0)" xfId="7" xr:uid="{00000000-0005-0000-0000-000006000000}"/>
    <cellStyle name="00 Blk Rcd (0.00%)" xfId="8" xr:uid="{00000000-0005-0000-0000-000007000000}"/>
    <cellStyle name="00 Blk Rcd (0.00)" xfId="9" xr:uid="{00000000-0005-0000-0000-000008000000}"/>
    <cellStyle name="00 Blk Rcd (0.000)" xfId="10" xr:uid="{00000000-0005-0000-0000-000009000000}"/>
    <cellStyle name="00 Blk Rcd (0.0000)" xfId="11" xr:uid="{00000000-0005-0000-0000-00000A000000}"/>
    <cellStyle name="00 Blk Rcd (A)" xfId="12" xr:uid="{00000000-0005-0000-0000-00000B000000}"/>
    <cellStyle name="00 Blk Rcd (B)" xfId="13" xr:uid="{00000000-0005-0000-0000-00000C000000}"/>
    <cellStyle name="00 Blk Rcd (MDY)" xfId="14" xr:uid="{00000000-0005-0000-0000-00000D000000}"/>
    <cellStyle name="00 Blk Rcd (MY)" xfId="15" xr:uid="{00000000-0005-0000-0000-00000E000000}"/>
    <cellStyle name="00 Blk Ttl ($0)" xfId="16" xr:uid="{00000000-0005-0000-0000-00000F000000}"/>
    <cellStyle name="00 Blk Ttl ($0.00)" xfId="17" xr:uid="{00000000-0005-0000-0000-000010000000}"/>
    <cellStyle name="00 Blk Ttl (0)" xfId="18" xr:uid="{00000000-0005-0000-0000-000011000000}"/>
    <cellStyle name="00 Blk Ttl (0,)" xfId="19" xr:uid="{00000000-0005-0000-0000-000012000000}"/>
    <cellStyle name="00 Blk Ttl (0.0%)" xfId="20" xr:uid="{00000000-0005-0000-0000-000013000000}"/>
    <cellStyle name="00 Blk Ttl (0.0)" xfId="21" xr:uid="{00000000-0005-0000-0000-000014000000}"/>
    <cellStyle name="00 Blk Ttl (0.00%)" xfId="22" xr:uid="{00000000-0005-0000-0000-000015000000}"/>
    <cellStyle name="00 Blk Ttl (0.00)" xfId="23" xr:uid="{00000000-0005-0000-0000-000016000000}"/>
    <cellStyle name="00 Blk Ttl (0.000)" xfId="24" xr:uid="{00000000-0005-0000-0000-000017000000}"/>
    <cellStyle name="00 Blk Ttl (A)" xfId="25" xr:uid="{00000000-0005-0000-0000-000018000000}"/>
    <cellStyle name="00 Grp Hdr (A)" xfId="26" xr:uid="{00000000-0005-0000-0000-000019000000}"/>
    <cellStyle name="00 Grp Hdr (C)" xfId="27" xr:uid="{00000000-0005-0000-0000-00001A000000}"/>
    <cellStyle name="00 Grp Hdr (D)" xfId="28" xr:uid="{00000000-0005-0000-0000-00001B000000}"/>
    <cellStyle name="00 Grp Rcd ($0)" xfId="29" xr:uid="{00000000-0005-0000-0000-00001C000000}"/>
    <cellStyle name="00 Grp Rcd ($0.00)" xfId="30" xr:uid="{00000000-0005-0000-0000-00001D000000}"/>
    <cellStyle name="00 Grp Rcd (0)" xfId="31" xr:uid="{00000000-0005-0000-0000-00001E000000}"/>
    <cellStyle name="00 Grp Rcd (0,)" xfId="32" xr:uid="{00000000-0005-0000-0000-00001F000000}"/>
    <cellStyle name="00 Grp Rcd (0.0%)" xfId="33" xr:uid="{00000000-0005-0000-0000-000020000000}"/>
    <cellStyle name="00 Grp Rcd (0.0)" xfId="34" xr:uid="{00000000-0005-0000-0000-000021000000}"/>
    <cellStyle name="00 Grp Rcd (0.00%)" xfId="35" xr:uid="{00000000-0005-0000-0000-000022000000}"/>
    <cellStyle name="00 Grp Rcd (0.00)" xfId="36" xr:uid="{00000000-0005-0000-0000-000023000000}"/>
    <cellStyle name="00 Grp Rcd (0.000)" xfId="37" xr:uid="{00000000-0005-0000-0000-000024000000}"/>
    <cellStyle name="00 Grp Rcd (A)" xfId="38" xr:uid="{00000000-0005-0000-0000-000025000000}"/>
    <cellStyle name="00 Grp Rcd (B)" xfId="39" xr:uid="{00000000-0005-0000-0000-000026000000}"/>
    <cellStyle name="00 Grp Rcd (C)" xfId="40" xr:uid="{00000000-0005-0000-0000-000027000000}"/>
    <cellStyle name="00 Grp Rcd (MDY)" xfId="41" xr:uid="{00000000-0005-0000-0000-000028000000}"/>
    <cellStyle name="00 Grp Rcd (MY)" xfId="42" xr:uid="{00000000-0005-0000-0000-000029000000}"/>
    <cellStyle name="00 Grp Ttl ($0)" xfId="43" xr:uid="{00000000-0005-0000-0000-00002A000000}"/>
    <cellStyle name="00 Grp Ttl ($0.00)" xfId="44" xr:uid="{00000000-0005-0000-0000-00002B000000}"/>
    <cellStyle name="00 Grp Ttl (0)" xfId="45" xr:uid="{00000000-0005-0000-0000-00002C000000}"/>
    <cellStyle name="00 Grp Ttl (0,)" xfId="46" xr:uid="{00000000-0005-0000-0000-00002D000000}"/>
    <cellStyle name="00 Grp Ttl (0.0%)" xfId="47" xr:uid="{00000000-0005-0000-0000-00002E000000}"/>
    <cellStyle name="00 Grp Ttl (0.0)" xfId="48" xr:uid="{00000000-0005-0000-0000-00002F000000}"/>
    <cellStyle name="00 Grp Ttl (0.00%)" xfId="49" xr:uid="{00000000-0005-0000-0000-000030000000}"/>
    <cellStyle name="00 Grp Ttl (0.00)" xfId="50" xr:uid="{00000000-0005-0000-0000-000031000000}"/>
    <cellStyle name="00 Grp Ttl (0.000)" xfId="51" xr:uid="{00000000-0005-0000-0000-000032000000}"/>
    <cellStyle name="00 Grp Ttl (A)" xfId="52" xr:uid="{00000000-0005-0000-0000-000033000000}"/>
    <cellStyle name="00 Rpt Bnr ($0)" xfId="53" xr:uid="{00000000-0005-0000-0000-000034000000}"/>
    <cellStyle name="00 Rpt Bnr ($0.00)" xfId="54" xr:uid="{00000000-0005-0000-0000-000035000000}"/>
    <cellStyle name="00 Rpt Bnr (0)" xfId="55" xr:uid="{00000000-0005-0000-0000-000036000000}"/>
    <cellStyle name="00 Rpt Bnr (0,)" xfId="56" xr:uid="{00000000-0005-0000-0000-000037000000}"/>
    <cellStyle name="00 Rpt Bnr (0.0%)" xfId="57" xr:uid="{00000000-0005-0000-0000-000038000000}"/>
    <cellStyle name="00 Rpt Bnr (0.0)" xfId="58" xr:uid="{00000000-0005-0000-0000-000039000000}"/>
    <cellStyle name="00 Rpt Bnr (0.00%)" xfId="59" xr:uid="{00000000-0005-0000-0000-00003A000000}"/>
    <cellStyle name="00 Rpt Bnr (0.00)" xfId="60" xr:uid="{00000000-0005-0000-0000-00003B000000}"/>
    <cellStyle name="00 Rpt Bnr (0.000)" xfId="61" xr:uid="{00000000-0005-0000-0000-00003C000000}"/>
    <cellStyle name="00 Rpt Bnr (A)" xfId="62" xr:uid="{00000000-0005-0000-0000-00003D000000}"/>
    <cellStyle name="00 Rpt Bnr (B)" xfId="63" xr:uid="{00000000-0005-0000-0000-00003E000000}"/>
    <cellStyle name="00 Rpt Bnr (C)" xfId="64" xr:uid="{00000000-0005-0000-0000-00003F000000}"/>
    <cellStyle name="00 Rpt Bnr (D)" xfId="65" xr:uid="{00000000-0005-0000-0000-000040000000}"/>
    <cellStyle name="00 Rpt Bnr (MDY)" xfId="66" xr:uid="{00000000-0005-0000-0000-000041000000}"/>
    <cellStyle name="00 Rpt Bnr (MY)" xfId="67" xr:uid="{00000000-0005-0000-0000-000042000000}"/>
    <cellStyle name="00 Rpt Hdr (A)" xfId="68" xr:uid="{00000000-0005-0000-0000-000043000000}"/>
    <cellStyle name="00 Rpt Hdr (B)" xfId="69" xr:uid="{00000000-0005-0000-0000-000044000000}"/>
    <cellStyle name="00 Rpt Hdr (C)" xfId="70" xr:uid="{00000000-0005-0000-0000-000045000000}"/>
    <cellStyle name="00 Rpt Hdr (D)" xfId="71" xr:uid="{00000000-0005-0000-0000-000046000000}"/>
    <cellStyle name="00 Rpt Hdr (MDY)" xfId="72" xr:uid="{00000000-0005-0000-0000-000047000000}"/>
    <cellStyle name="00 Rpt Hdr (MY)" xfId="73" xr:uid="{00000000-0005-0000-0000-000048000000}"/>
    <cellStyle name="00 Rpt Ttl ($0)" xfId="74" xr:uid="{00000000-0005-0000-0000-000049000000}"/>
    <cellStyle name="00 Rpt Ttl ($0.00)" xfId="75" xr:uid="{00000000-0005-0000-0000-00004A000000}"/>
    <cellStyle name="00 Rpt Ttl (0)" xfId="76" xr:uid="{00000000-0005-0000-0000-00004B000000}"/>
    <cellStyle name="00 Rpt Ttl (0,)" xfId="77" xr:uid="{00000000-0005-0000-0000-00004C000000}"/>
    <cellStyle name="00 Rpt Ttl (0.0%)" xfId="78" xr:uid="{00000000-0005-0000-0000-00004D000000}"/>
    <cellStyle name="00 Rpt Ttl (0.0)" xfId="79" xr:uid="{00000000-0005-0000-0000-00004E000000}"/>
    <cellStyle name="00 Rpt Ttl (0.00%)" xfId="80" xr:uid="{00000000-0005-0000-0000-00004F000000}"/>
    <cellStyle name="00 Rpt Ttl (0.00)" xfId="81" xr:uid="{00000000-0005-0000-0000-000050000000}"/>
    <cellStyle name="00 Rpt Ttl (0.000)" xfId="82" xr:uid="{00000000-0005-0000-0000-000051000000}"/>
    <cellStyle name="00 Rpt Ttl (A)" xfId="83" xr:uid="{00000000-0005-0000-0000-000052000000}"/>
    <cellStyle name="00 Sheet Minor Title (A)" xfId="84" xr:uid="{00000000-0005-0000-0000-000053000000}"/>
    <cellStyle name="00 Sheet Minor Title (B)" xfId="85" xr:uid="{00000000-0005-0000-0000-000054000000}"/>
    <cellStyle name="00 Sheet SubTitle (A)" xfId="86" xr:uid="{00000000-0005-0000-0000-000055000000}"/>
    <cellStyle name="00 Sheet SubTitle (B)" xfId="87" xr:uid="{00000000-0005-0000-0000-000056000000}"/>
    <cellStyle name="00 Sheet Title (A)" xfId="88" xr:uid="{00000000-0005-0000-0000-000057000000}"/>
    <cellStyle name="00 Sub HDR (A)" xfId="89" xr:uid="{00000000-0005-0000-0000-000058000000}"/>
    <cellStyle name="00 Sub Rcd ($0)" xfId="90" xr:uid="{00000000-0005-0000-0000-000059000000}"/>
    <cellStyle name="00 Sub Rcd ($0.00)" xfId="91" xr:uid="{00000000-0005-0000-0000-00005A000000}"/>
    <cellStyle name="00 Sub Rcd (0)" xfId="92" xr:uid="{00000000-0005-0000-0000-00005B000000}"/>
    <cellStyle name="00 Sub Rcd (0,)" xfId="93" xr:uid="{00000000-0005-0000-0000-00005C000000}"/>
    <cellStyle name="00 Sub Rcd (0.0%)" xfId="94" xr:uid="{00000000-0005-0000-0000-00005D000000}"/>
    <cellStyle name="00 Sub Rcd (0.0)" xfId="95" xr:uid="{00000000-0005-0000-0000-00005E000000}"/>
    <cellStyle name="00 Sub Rcd (0.00%)" xfId="96" xr:uid="{00000000-0005-0000-0000-00005F000000}"/>
    <cellStyle name="00 Sub Rcd (0.00)" xfId="97" xr:uid="{00000000-0005-0000-0000-000060000000}"/>
    <cellStyle name="00 Sub Rcd (0.000)" xfId="98" xr:uid="{00000000-0005-0000-0000-000061000000}"/>
    <cellStyle name="00 Sub Rcd (A)" xfId="99" xr:uid="{00000000-0005-0000-0000-000062000000}"/>
    <cellStyle name="00 Sub Rcd (B)" xfId="100" xr:uid="{00000000-0005-0000-0000-000063000000}"/>
    <cellStyle name="00 Sub Rcd (MDY)" xfId="101" xr:uid="{00000000-0005-0000-0000-000064000000}"/>
    <cellStyle name="00 Sub Rcd (MY)" xfId="102" xr:uid="{00000000-0005-0000-0000-000065000000}"/>
    <cellStyle name="00 Sub Ttl ($0)" xfId="103" xr:uid="{00000000-0005-0000-0000-000066000000}"/>
    <cellStyle name="00 Sub Ttl ($0.00)" xfId="104" xr:uid="{00000000-0005-0000-0000-000067000000}"/>
    <cellStyle name="00 Sub Ttl (0)" xfId="105" xr:uid="{00000000-0005-0000-0000-000068000000}"/>
    <cellStyle name="00 Sub Ttl (0,)" xfId="106" xr:uid="{00000000-0005-0000-0000-000069000000}"/>
    <cellStyle name="00 Sub Ttl (0.0%)" xfId="107" xr:uid="{00000000-0005-0000-0000-00006A000000}"/>
    <cellStyle name="00 Sub Ttl (0.0)" xfId="108" xr:uid="{00000000-0005-0000-0000-00006B000000}"/>
    <cellStyle name="00 Sub Ttl (0.00%)" xfId="109" xr:uid="{00000000-0005-0000-0000-00006C000000}"/>
    <cellStyle name="00 Sub Ttl (0.00)" xfId="110" xr:uid="{00000000-0005-0000-0000-00006D000000}"/>
    <cellStyle name="00 Sub Ttl (0.000)" xfId="111" xr:uid="{00000000-0005-0000-0000-00006E000000}"/>
    <cellStyle name="00 Sub Ttl (A)" xfId="112" xr:uid="{00000000-0005-0000-0000-00006F000000}"/>
    <cellStyle name="00 Top Brand Med (A)" xfId="113" xr:uid="{00000000-0005-0000-0000-000070000000}"/>
    <cellStyle name="AQ1" xfId="114" xr:uid="{00000000-0005-0000-0000-000071000000}"/>
    <cellStyle name="AQ2" xfId="115" xr:uid="{00000000-0005-0000-0000-000072000000}"/>
    <cellStyle name="AQ3" xfId="116" xr:uid="{00000000-0005-0000-0000-000073000000}"/>
    <cellStyle name="AQ4" xfId="117" xr:uid="{00000000-0005-0000-0000-000074000000}"/>
    <cellStyle name="AQ5" xfId="118" xr:uid="{00000000-0005-0000-0000-000075000000}"/>
    <cellStyle name="Button (A)" xfId="119" xr:uid="{00000000-0005-0000-0000-000076000000}"/>
    <cellStyle name="Button (B)" xfId="120" xr:uid="{00000000-0005-0000-0000-000077000000}"/>
    <cellStyle name="CM1" xfId="121" xr:uid="{00000000-0005-0000-0000-000078000000}"/>
    <cellStyle name="CM2" xfId="122" xr:uid="{00000000-0005-0000-0000-000079000000}"/>
    <cellStyle name="CM3" xfId="123" xr:uid="{00000000-0005-0000-0000-00007A000000}"/>
    <cellStyle name="CM4" xfId="124" xr:uid="{00000000-0005-0000-0000-00007B000000}"/>
    <cellStyle name="CM5" xfId="125" xr:uid="{00000000-0005-0000-0000-00007C000000}"/>
    <cellStyle name="Comma" xfId="199" builtinId="3"/>
    <cellStyle name="Dbl-Click (A)" xfId="126" xr:uid="{00000000-0005-0000-0000-00007D000000}"/>
    <cellStyle name="Drop Down ($0)" xfId="127" xr:uid="{00000000-0005-0000-0000-00007E000000}"/>
    <cellStyle name="Drop Down ($0.00)" xfId="128" xr:uid="{00000000-0005-0000-0000-00007F000000}"/>
    <cellStyle name="Drop Down (0)" xfId="129" xr:uid="{00000000-0005-0000-0000-000080000000}"/>
    <cellStyle name="Drop Down (0,)" xfId="130" xr:uid="{00000000-0005-0000-0000-000081000000}"/>
    <cellStyle name="Drop Down (0.0%)" xfId="131" xr:uid="{00000000-0005-0000-0000-000082000000}"/>
    <cellStyle name="Drop Down (0.0)" xfId="132" xr:uid="{00000000-0005-0000-0000-000083000000}"/>
    <cellStyle name="Drop Down (0.00%)" xfId="133" xr:uid="{00000000-0005-0000-0000-000084000000}"/>
    <cellStyle name="Drop Down (0.00)" xfId="134" xr:uid="{00000000-0005-0000-0000-000085000000}"/>
    <cellStyle name="Drop Down (0.000)" xfId="135" xr:uid="{00000000-0005-0000-0000-000086000000}"/>
    <cellStyle name="Drop Down (A)" xfId="136" xr:uid="{00000000-0005-0000-0000-000087000000}"/>
    <cellStyle name="Drop Down (MDY)" xfId="137" xr:uid="{00000000-0005-0000-0000-000088000000}"/>
    <cellStyle name="Drop Down (MY)" xfId="138" xr:uid="{00000000-0005-0000-0000-000089000000}"/>
    <cellStyle name="DS1" xfId="139" xr:uid="{00000000-0005-0000-0000-00008A000000}"/>
    <cellStyle name="DS2" xfId="140" xr:uid="{00000000-0005-0000-0000-00008B000000}"/>
    <cellStyle name="DS3" xfId="141" xr:uid="{00000000-0005-0000-0000-00008C000000}"/>
    <cellStyle name="DS4" xfId="142" xr:uid="{00000000-0005-0000-0000-00008D000000}"/>
    <cellStyle name="DS5" xfId="143" xr:uid="{00000000-0005-0000-0000-00008E000000}"/>
    <cellStyle name="Explanatory Text (A)" xfId="144" xr:uid="{00000000-0005-0000-0000-00008F000000}"/>
    <cellStyle name="Explanatory Text (B)" xfId="145" xr:uid="{00000000-0005-0000-0000-000090000000}"/>
    <cellStyle name="File_Icon (A)" xfId="146" xr:uid="{00000000-0005-0000-0000-000091000000}"/>
    <cellStyle name="GT1" xfId="147" xr:uid="{00000000-0005-0000-0000-000092000000}"/>
    <cellStyle name="GT2" xfId="148" xr:uid="{00000000-0005-0000-0000-000093000000}"/>
    <cellStyle name="GT3" xfId="149" xr:uid="{00000000-0005-0000-0000-000094000000}"/>
    <cellStyle name="GT4" xfId="150" xr:uid="{00000000-0005-0000-0000-000095000000}"/>
    <cellStyle name="GT5" xfId="151" xr:uid="{00000000-0005-0000-0000-000096000000}"/>
    <cellStyle name="Input ($0)" xfId="152" xr:uid="{00000000-0005-0000-0000-000097000000}"/>
    <cellStyle name="Input ($0.00)" xfId="153" xr:uid="{00000000-0005-0000-0000-000098000000}"/>
    <cellStyle name="Input (0)" xfId="154" xr:uid="{00000000-0005-0000-0000-000099000000}"/>
    <cellStyle name="Input (0,)" xfId="155" xr:uid="{00000000-0005-0000-0000-00009A000000}"/>
    <cellStyle name="Input (0.0%)" xfId="156" xr:uid="{00000000-0005-0000-0000-00009B000000}"/>
    <cellStyle name="Input (0.0)" xfId="157" xr:uid="{00000000-0005-0000-0000-00009C000000}"/>
    <cellStyle name="Input (0.00%)" xfId="158" xr:uid="{00000000-0005-0000-0000-00009D000000}"/>
    <cellStyle name="Input (0.00)" xfId="159" xr:uid="{00000000-0005-0000-0000-00009E000000}"/>
    <cellStyle name="Input (0.000)" xfId="160" xr:uid="{00000000-0005-0000-0000-00009F000000}"/>
    <cellStyle name="Input (A)" xfId="161" xr:uid="{00000000-0005-0000-0000-0000A0000000}"/>
    <cellStyle name="Input (MDY)" xfId="162" xr:uid="{00000000-0005-0000-0000-0000A1000000}"/>
    <cellStyle name="Input (MY)" xfId="163" xr:uid="{00000000-0005-0000-0000-0000A2000000}"/>
    <cellStyle name="List Item (A)" xfId="164" xr:uid="{00000000-0005-0000-0000-0000A3000000}"/>
    <cellStyle name="List Item (B)" xfId="165" xr:uid="{00000000-0005-0000-0000-0000A4000000}"/>
    <cellStyle name="List Item (C)" xfId="166" xr:uid="{00000000-0005-0000-0000-0000A5000000}"/>
    <cellStyle name="List Item (D)" xfId="167" xr:uid="{00000000-0005-0000-0000-0000A6000000}"/>
    <cellStyle name="Normal" xfId="0" builtinId="0" customBuiltin="1"/>
    <cellStyle name="Normal 2" xfId="168" xr:uid="{00000000-0005-0000-0000-0000A8000000}"/>
    <cellStyle name="Percent" xfId="200" builtinId="5"/>
    <cellStyle name="Place Cursor Here (A)" xfId="169" xr:uid="{00000000-0005-0000-0000-0000A9000000}"/>
    <cellStyle name="Place Cursor Here (B)" xfId="170" xr:uid="{00000000-0005-0000-0000-0000AA000000}"/>
    <cellStyle name="Red Flag (A)" xfId="171" xr:uid="{00000000-0005-0000-0000-0000AB000000}"/>
    <cellStyle name="Red Flag (B)" xfId="172" xr:uid="{00000000-0005-0000-0000-0000AC000000}"/>
    <cellStyle name="SD1" xfId="173" xr:uid="{00000000-0005-0000-0000-0000AD000000}"/>
    <cellStyle name="SD2" xfId="174" xr:uid="{00000000-0005-0000-0000-0000AE000000}"/>
    <cellStyle name="SD3" xfId="175" xr:uid="{00000000-0005-0000-0000-0000AF000000}"/>
    <cellStyle name="SD4" xfId="176" xr:uid="{00000000-0005-0000-0000-0000B0000000}"/>
    <cellStyle name="SD5" xfId="177" xr:uid="{00000000-0005-0000-0000-0000B1000000}"/>
    <cellStyle name="VW1" xfId="178" xr:uid="{00000000-0005-0000-0000-0000B2000000}"/>
    <cellStyle name="VW2" xfId="179" xr:uid="{00000000-0005-0000-0000-0000B3000000}"/>
    <cellStyle name="VW3" xfId="180" xr:uid="{00000000-0005-0000-0000-0000B4000000}"/>
    <cellStyle name="VW4" xfId="181" xr:uid="{00000000-0005-0000-0000-0000B5000000}"/>
    <cellStyle name="VW5" xfId="182" xr:uid="{00000000-0005-0000-0000-0000B6000000}"/>
    <cellStyle name="WC1" xfId="183" xr:uid="{00000000-0005-0000-0000-0000B7000000}"/>
    <cellStyle name="WC1 ($0)" xfId="184" xr:uid="{00000000-0005-0000-0000-0000B8000000}"/>
    <cellStyle name="WC1 ($0.00)" xfId="185" xr:uid="{00000000-0005-0000-0000-0000B9000000}"/>
    <cellStyle name="WC1 (0)" xfId="186" xr:uid="{00000000-0005-0000-0000-0000BA000000}"/>
    <cellStyle name="WC1 (0,)" xfId="187" xr:uid="{00000000-0005-0000-0000-0000BB000000}"/>
    <cellStyle name="WC1 (0.0%)" xfId="188" xr:uid="{00000000-0005-0000-0000-0000BC000000}"/>
    <cellStyle name="WC1 (0.0)" xfId="189" xr:uid="{00000000-0005-0000-0000-0000BD000000}"/>
    <cellStyle name="WC1 (0.00%)" xfId="190" xr:uid="{00000000-0005-0000-0000-0000BE000000}"/>
    <cellStyle name="WC1 (0.00)" xfId="191" xr:uid="{00000000-0005-0000-0000-0000BF000000}"/>
    <cellStyle name="WC1 (0.000)" xfId="192" xr:uid="{00000000-0005-0000-0000-0000C0000000}"/>
    <cellStyle name="WC1 (MDY)" xfId="193" xr:uid="{00000000-0005-0000-0000-0000C1000000}"/>
    <cellStyle name="WC1 (MY)" xfId="194" xr:uid="{00000000-0005-0000-0000-0000C2000000}"/>
    <cellStyle name="WC2" xfId="195" xr:uid="{00000000-0005-0000-0000-0000C3000000}"/>
    <cellStyle name="WC3" xfId="196" xr:uid="{00000000-0005-0000-0000-0000C4000000}"/>
    <cellStyle name="WC4" xfId="197" xr:uid="{00000000-0005-0000-0000-0000C5000000}"/>
    <cellStyle name="WC5" xfId="198" xr:uid="{00000000-0005-0000-0000-0000C6000000}"/>
  </cellStyles>
  <dxfs count="36">
    <dxf>
      <font>
        <b/>
        <i val="0"/>
      </font>
      <fill>
        <patternFill>
          <bgColor rgb="FFC2E9FF"/>
        </patternFill>
      </fill>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0"/>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2" tint="-9.9948118533890809E-2"/>
        </patternFill>
      </fill>
      <border>
        <left/>
        <right/>
        <top/>
        <bottom/>
      </border>
    </dxf>
    <dxf>
      <font>
        <condense val="0"/>
        <extend val="0"/>
        <color indexed="9"/>
      </font>
      <fill>
        <patternFill patternType="solid">
          <bgColor theme="2" tint="-9.9948118533890809E-2"/>
        </patternFill>
      </fill>
      <border>
        <left/>
        <right/>
        <top/>
        <bottom/>
      </border>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26</xdr:row>
      <xdr:rowOff>0</xdr:rowOff>
    </xdr:from>
    <xdr:to>
      <xdr:col>11</xdr:col>
      <xdr:colOff>304800</xdr:colOff>
      <xdr:row>27</xdr:row>
      <xdr:rowOff>131868</xdr:rowOff>
    </xdr:to>
    <xdr:sp macro="" textlink="">
      <xdr:nvSpPr>
        <xdr:cNvPr id="2" name="AutoShape 2" descr="Show">
          <a:extLst>
            <a:ext uri="{FF2B5EF4-FFF2-40B4-BE49-F238E27FC236}">
              <a16:creationId xmlns:a16="http://schemas.microsoft.com/office/drawing/2014/main" id="{00000000-0008-0000-0400-000002000000}"/>
            </a:ext>
          </a:extLst>
        </xdr:cNvPr>
        <xdr:cNvSpPr/>
      </xdr:nvSpPr>
      <xdr:spPr>
        <a:xfrm>
          <a:off x="14612423" y="4984115"/>
          <a:ext cx="304800" cy="320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twoCellAnchor editAs="oneCell">
    <xdr:from>
      <xdr:col>11</xdr:col>
      <xdr:colOff>0</xdr:colOff>
      <xdr:row>31</xdr:row>
      <xdr:rowOff>0</xdr:rowOff>
    </xdr:from>
    <xdr:to>
      <xdr:col>11</xdr:col>
      <xdr:colOff>304800</xdr:colOff>
      <xdr:row>32</xdr:row>
      <xdr:rowOff>131868</xdr:rowOff>
    </xdr:to>
    <xdr:sp macro="" textlink="">
      <xdr:nvSpPr>
        <xdr:cNvPr id="3" name="AutoShape 3" descr="Show">
          <a:extLst>
            <a:ext uri="{FF2B5EF4-FFF2-40B4-BE49-F238E27FC236}">
              <a16:creationId xmlns:a16="http://schemas.microsoft.com/office/drawing/2014/main" id="{00000000-0008-0000-0400-000003000000}"/>
            </a:ext>
          </a:extLst>
        </xdr:cNvPr>
        <xdr:cNvSpPr/>
      </xdr:nvSpPr>
      <xdr:spPr>
        <a:xfrm>
          <a:off x="14612423" y="5549900"/>
          <a:ext cx="304800" cy="320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a:p>
      </xdr:txBody>
    </xdr:sp>
    <xdr:clientData/>
  </xdr:twoCellAnchor>
</xdr:wsDr>
</file>

<file path=xl/theme/theme1.xml><?xml version="1.0" encoding="utf-8"?>
<a:theme xmlns:a="http://schemas.openxmlformats.org/drawingml/2006/main" name="KHA-EPM">
  <a:themeElements>
    <a:clrScheme name="KHEPM">
      <a:dk1>
        <a:sysClr val="windowText" lastClr="000000"/>
      </a:dk1>
      <a:lt1>
        <a:sysClr val="window" lastClr="FFFFFF"/>
      </a:lt1>
      <a:dk2>
        <a:srgbClr val="586168"/>
      </a:dk2>
      <a:lt2>
        <a:srgbClr val="EBEBEB"/>
      </a:lt2>
      <a:accent1>
        <a:srgbClr val="B01513"/>
      </a:accent1>
      <a:accent2>
        <a:srgbClr val="F7D4B7"/>
      </a:accent2>
      <a:accent3>
        <a:srgbClr val="F8F5B6"/>
      </a:accent3>
      <a:accent4>
        <a:srgbClr val="6AAC90"/>
      </a:accent4>
      <a:accent5>
        <a:srgbClr val="BBD4EB"/>
      </a:accent5>
      <a:accent6>
        <a:srgbClr val="9E5E9B"/>
      </a:accent6>
      <a:hlink>
        <a:srgbClr val="5F9C9D"/>
      </a:hlink>
      <a:folHlink>
        <a:srgbClr val="9E5E9B"/>
      </a:folHlink>
    </a:clrScheme>
    <a:fontScheme name="san_diego">
      <a:majorFont>
        <a:latin typeface="Century Gothic"/>
        <a:ea typeface=""/>
        <a:cs typeface=""/>
      </a:majorFont>
      <a:minorFont>
        <a:latin typeface="Segoe UI"/>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6"/>
  <sheetViews>
    <sheetView showGridLines="0" topLeftCell="B7" workbookViewId="0">
      <selection activeCell="D34" sqref="D34"/>
    </sheetView>
  </sheetViews>
  <sheetFormatPr defaultColWidth="9" defaultRowHeight="16.8"/>
  <cols>
    <col min="1" max="1" width="49.19921875" style="119" hidden="1" customWidth="1"/>
    <col min="2" max="2" width="2" style="22" customWidth="1"/>
    <col min="3" max="3" width="45" style="119" customWidth="1"/>
    <col min="4" max="4" width="43.69921875" style="131" customWidth="1"/>
    <col min="5" max="5" width="17.8984375" style="131" customWidth="1"/>
    <col min="6" max="6" width="18.3984375" style="131" customWidth="1"/>
    <col min="7" max="7" width="14.19921875" style="131" customWidth="1"/>
    <col min="8" max="8" width="9" style="131"/>
    <col min="9" max="9" width="15.69921875" style="131" customWidth="1"/>
    <col min="10" max="12" width="9" style="131"/>
    <col min="13" max="13" width="16.3984375" style="131" customWidth="1"/>
    <col min="14" max="16384" width="9" style="131"/>
  </cols>
  <sheetData>
    <row r="1" spans="1:26" ht="18.75" customHeight="1">
      <c r="B1" s="87"/>
      <c r="C1" s="87"/>
      <c r="D1" s="144"/>
      <c r="E1" s="144"/>
      <c r="F1" s="22"/>
      <c r="G1" s="22"/>
      <c r="H1" s="22"/>
      <c r="I1" s="22"/>
      <c r="J1" s="22"/>
      <c r="K1" s="22"/>
      <c r="L1" s="22"/>
      <c r="M1" s="22"/>
    </row>
    <row r="2" spans="1:26" ht="15" hidden="1" customHeight="1">
      <c r="A2" s="125" t="s">
        <v>350</v>
      </c>
      <c r="D2" s="119">
        <v>4</v>
      </c>
      <c r="E2" s="22"/>
      <c r="F2" s="22"/>
      <c r="G2" s="22"/>
      <c r="H2" s="22"/>
      <c r="I2" s="22"/>
      <c r="J2" s="22"/>
      <c r="K2" s="22"/>
      <c r="L2" s="22"/>
      <c r="M2" s="22"/>
    </row>
    <row r="3" spans="1:26" s="104" customFormat="1" ht="15" hidden="1" customHeight="1">
      <c r="A3" s="149"/>
      <c r="B3" s="22"/>
      <c r="E3" s="90"/>
      <c r="F3" s="59"/>
      <c r="G3" s="59"/>
      <c r="H3" s="59"/>
      <c r="I3" s="59"/>
      <c r="J3" s="59"/>
      <c r="K3" s="59"/>
      <c r="L3" s="59"/>
      <c r="M3" s="134"/>
    </row>
    <row r="4" spans="1:26" s="203" customFormat="1" ht="15" hidden="1" customHeight="1">
      <c r="A4" s="145"/>
      <c r="B4" s="49"/>
      <c r="E4" s="90"/>
      <c r="F4" s="90"/>
      <c r="G4" s="90"/>
      <c r="H4" s="90"/>
      <c r="I4" s="90"/>
      <c r="J4" s="90"/>
      <c r="K4" s="90"/>
      <c r="L4" s="90"/>
      <c r="M4" s="153"/>
    </row>
    <row r="5" spans="1:26" s="203" customFormat="1" ht="15" hidden="1" customHeight="1">
      <c r="A5" s="145"/>
      <c r="B5" s="49"/>
      <c r="D5" s="208"/>
      <c r="E5" s="90"/>
      <c r="F5" s="90"/>
      <c r="G5" s="90"/>
      <c r="H5" s="90"/>
      <c r="I5" s="90"/>
      <c r="J5" s="90"/>
      <c r="K5" s="90"/>
      <c r="L5" s="90"/>
      <c r="M5" s="153"/>
    </row>
    <row r="6" spans="1:26" s="203" customFormat="1" ht="15" hidden="1" customHeight="1">
      <c r="A6" s="145"/>
      <c r="B6" s="49"/>
      <c r="D6" s="208"/>
      <c r="E6" s="90"/>
      <c r="F6" s="90"/>
      <c r="G6" s="90"/>
      <c r="H6" s="90"/>
      <c r="I6" s="90"/>
      <c r="J6" s="90"/>
      <c r="K6" s="90"/>
      <c r="L6" s="90"/>
      <c r="M6" s="153"/>
    </row>
    <row r="7" spans="1:26" s="203" customFormat="1" ht="18.75" customHeight="1">
      <c r="A7" s="145"/>
      <c r="B7" s="49"/>
      <c r="C7" s="173" t="s">
        <v>94</v>
      </c>
      <c r="D7" s="208"/>
      <c r="E7" s="90"/>
      <c r="F7" s="90"/>
      <c r="G7" s="90"/>
      <c r="H7" s="90"/>
      <c r="I7" s="90"/>
      <c r="J7" s="90"/>
      <c r="K7" s="90"/>
      <c r="L7" s="90"/>
      <c r="M7" s="153"/>
    </row>
    <row r="8" spans="1:26" s="203" customFormat="1" ht="15.75" customHeight="1">
      <c r="A8" s="145"/>
      <c r="B8" s="49"/>
      <c r="C8" s="191"/>
      <c r="D8" s="208"/>
      <c r="E8" s="90"/>
      <c r="F8" s="90"/>
      <c r="G8" s="90"/>
      <c r="H8" s="90"/>
      <c r="I8" s="90"/>
      <c r="J8" s="90"/>
      <c r="K8" s="90"/>
      <c r="L8" s="90"/>
      <c r="M8" s="153"/>
    </row>
    <row r="9" spans="1:26" ht="15.75" customHeight="1">
      <c r="A9" s="146"/>
      <c r="C9" s="77" t="s">
        <v>462</v>
      </c>
      <c r="D9" s="49"/>
      <c r="E9" s="49"/>
      <c r="F9" s="22"/>
      <c r="G9" s="22"/>
      <c r="H9" s="22"/>
      <c r="I9" s="22"/>
      <c r="J9" s="22"/>
      <c r="K9" s="22"/>
      <c r="L9" s="22"/>
      <c r="M9" s="22"/>
    </row>
    <row r="10" spans="1:26" s="128" customFormat="1" ht="15.75" customHeight="1">
      <c r="A10" s="125" t="s">
        <v>351</v>
      </c>
      <c r="B10" s="121"/>
      <c r="C10" s="79" t="s">
        <v>510</v>
      </c>
      <c r="D10" s="157" t="s">
        <v>885</v>
      </c>
      <c r="E10" s="45" t="s">
        <v>31</v>
      </c>
      <c r="F10" s="45" t="s">
        <v>67</v>
      </c>
      <c r="G10" s="45"/>
      <c r="H10" s="45"/>
      <c r="I10" s="45"/>
      <c r="J10" s="45"/>
      <c r="K10" s="45"/>
      <c r="L10" s="45"/>
      <c r="M10" s="45"/>
      <c r="N10" s="45"/>
      <c r="O10" s="45"/>
      <c r="P10" s="45"/>
      <c r="Q10" s="45"/>
      <c r="R10" s="45"/>
      <c r="S10" s="45"/>
      <c r="T10" s="35"/>
      <c r="U10" s="35"/>
      <c r="V10" s="35"/>
      <c r="W10" s="35"/>
      <c r="X10" s="35"/>
      <c r="Y10" s="35"/>
      <c r="Z10" s="35"/>
    </row>
    <row r="11" spans="1:26" s="189" customFormat="1" ht="15.75" hidden="1" customHeight="1">
      <c r="A11" s="125"/>
      <c r="B11" s="166"/>
      <c r="C11" s="79"/>
      <c r="D11" s="157"/>
      <c r="E11" s="179"/>
      <c r="F11" s="88"/>
      <c r="G11" s="88"/>
      <c r="H11" s="88"/>
      <c r="I11" s="88"/>
      <c r="J11" s="88"/>
      <c r="K11" s="88"/>
      <c r="L11" s="88"/>
      <c r="M11" s="88"/>
    </row>
    <row r="12" spans="1:26" s="189" customFormat="1" ht="15.75" hidden="1" customHeight="1">
      <c r="A12" s="125"/>
      <c r="B12" s="166"/>
      <c r="C12" s="79"/>
      <c r="D12" s="157"/>
      <c r="E12" s="179"/>
      <c r="F12" s="88"/>
      <c r="G12" s="88"/>
      <c r="H12" s="88"/>
      <c r="I12" s="88"/>
      <c r="J12" s="88"/>
      <c r="K12" s="88"/>
      <c r="L12" s="88"/>
      <c r="M12" s="88"/>
    </row>
    <row r="13" spans="1:26" s="189" customFormat="1" ht="15.75" hidden="1" customHeight="1">
      <c r="A13" s="125"/>
      <c r="B13" s="166"/>
      <c r="C13" s="79"/>
      <c r="D13" s="157"/>
      <c r="E13" s="179"/>
      <c r="F13" s="88"/>
      <c r="G13" s="88"/>
      <c r="H13" s="88"/>
      <c r="I13" s="88"/>
      <c r="J13" s="88"/>
      <c r="K13" s="88"/>
      <c r="L13" s="88"/>
      <c r="M13" s="88"/>
    </row>
    <row r="14" spans="1:26" s="189" customFormat="1" ht="15.75" hidden="1" customHeight="1">
      <c r="A14" s="125"/>
      <c r="B14" s="166"/>
      <c r="C14" s="79"/>
      <c r="D14" s="157"/>
      <c r="E14" s="179"/>
      <c r="F14" s="88"/>
      <c r="G14" s="88"/>
      <c r="H14" s="88"/>
      <c r="I14" s="88"/>
      <c r="J14" s="88"/>
      <c r="K14" s="88"/>
      <c r="L14" s="88"/>
      <c r="M14" s="88"/>
    </row>
    <row r="15" spans="1:26" s="189" customFormat="1" ht="15.75" hidden="1" customHeight="1">
      <c r="A15" s="125"/>
      <c r="B15" s="166"/>
      <c r="C15" s="79"/>
      <c r="D15" s="157"/>
      <c r="E15" s="179"/>
      <c r="F15" s="88"/>
      <c r="G15" s="88"/>
      <c r="H15" s="88"/>
      <c r="I15" s="88"/>
      <c r="J15" s="88"/>
      <c r="K15" s="88"/>
      <c r="L15" s="88"/>
      <c r="M15" s="88"/>
    </row>
    <row r="16" spans="1:26" s="189" customFormat="1" ht="15.75" hidden="1" customHeight="1">
      <c r="A16" s="125"/>
      <c r="B16" s="166"/>
      <c r="C16" s="79"/>
      <c r="D16" s="157"/>
      <c r="E16" s="179"/>
      <c r="F16" s="88"/>
      <c r="G16" s="88"/>
      <c r="H16" s="88"/>
      <c r="I16" s="88"/>
      <c r="J16" s="88"/>
      <c r="K16" s="88"/>
      <c r="L16" s="88"/>
      <c r="M16" s="88"/>
    </row>
    <row r="17" spans="1:26" s="189" customFormat="1" ht="15.75" hidden="1" customHeight="1">
      <c r="A17" s="125"/>
      <c r="B17" s="166"/>
      <c r="C17" s="79"/>
      <c r="D17" s="157"/>
      <c r="E17" s="179"/>
      <c r="F17" s="88"/>
      <c r="G17" s="88"/>
      <c r="H17" s="88"/>
      <c r="I17" s="88"/>
      <c r="J17" s="88"/>
      <c r="K17" s="88"/>
      <c r="L17" s="88"/>
      <c r="M17" s="88"/>
    </row>
    <row r="18" spans="1:26" s="189" customFormat="1" ht="15.75" hidden="1" customHeight="1">
      <c r="A18" s="125"/>
      <c r="B18" s="166"/>
      <c r="C18" s="79"/>
      <c r="D18" s="157"/>
      <c r="E18" s="179"/>
      <c r="F18" s="88"/>
      <c r="G18" s="88"/>
      <c r="H18" s="88"/>
      <c r="I18" s="88"/>
      <c r="J18" s="88"/>
      <c r="K18" s="88"/>
      <c r="L18" s="88"/>
      <c r="M18" s="88"/>
    </row>
    <row r="19" spans="1:26" s="189" customFormat="1" ht="15.75" hidden="1" customHeight="1">
      <c r="A19" s="125"/>
      <c r="B19" s="166"/>
      <c r="C19" s="79"/>
      <c r="D19" s="157"/>
      <c r="E19" s="179"/>
      <c r="F19" s="88"/>
      <c r="G19" s="88"/>
      <c r="H19" s="88"/>
      <c r="I19" s="88"/>
      <c r="J19" s="88"/>
      <c r="K19" s="88"/>
      <c r="L19" s="88"/>
      <c r="M19" s="88"/>
    </row>
    <row r="20" spans="1:26" s="189" customFormat="1" ht="15.75" hidden="1" customHeight="1">
      <c r="A20" s="125"/>
      <c r="B20" s="166"/>
      <c r="C20" s="79"/>
      <c r="D20" s="157"/>
      <c r="E20" s="179"/>
      <c r="F20" s="88"/>
      <c r="G20" s="88"/>
      <c r="H20" s="88"/>
      <c r="I20" s="88"/>
      <c r="J20" s="88"/>
      <c r="K20" s="88"/>
      <c r="L20" s="88"/>
      <c r="M20" s="88"/>
    </row>
    <row r="21" spans="1:26" s="189" customFormat="1" ht="15.75" hidden="1" customHeight="1">
      <c r="A21" s="125"/>
      <c r="B21" s="166"/>
      <c r="C21" s="79"/>
      <c r="D21" s="157"/>
      <c r="E21" s="179"/>
      <c r="F21" s="88"/>
      <c r="G21" s="88"/>
      <c r="H21" s="88"/>
      <c r="I21" s="88"/>
      <c r="J21" s="88"/>
      <c r="K21" s="88"/>
      <c r="L21" s="88"/>
      <c r="M21" s="88"/>
    </row>
    <row r="22" spans="1:26" s="184" customFormat="1" ht="15.75" hidden="1" customHeight="1">
      <c r="A22" s="125"/>
      <c r="B22" s="154"/>
      <c r="C22" s="79"/>
      <c r="D22" s="157"/>
      <c r="E22" s="138"/>
      <c r="F22" s="138"/>
      <c r="G22" s="99"/>
      <c r="H22" s="99"/>
      <c r="I22" s="99"/>
      <c r="J22" s="99"/>
      <c r="K22" s="99"/>
      <c r="L22" s="99"/>
      <c r="M22" s="182"/>
    </row>
    <row r="23" spans="1:26" s="128" customFormat="1" ht="15.75" customHeight="1">
      <c r="A23" s="125" t="s">
        <v>463</v>
      </c>
      <c r="B23" s="121"/>
      <c r="C23" s="79" t="s">
        <v>21</v>
      </c>
      <c r="D23" s="157" t="str">
        <f>IF(Variables!O74="","",Variables!O74)</f>
        <v/>
      </c>
      <c r="E23" s="45" t="str">
        <f>_xll.GetData(E$10,"Dept = "&amp;IF($D23="",0,$D23))</f>
        <v>Default</v>
      </c>
      <c r="F23" s="45" t="str">
        <f>_xll.GetData(F$10,"Dept = "&amp;IF($D23="",0,$D23))</f>
        <v>NA</v>
      </c>
      <c r="G23" s="45"/>
      <c r="H23" s="45"/>
      <c r="I23" s="45"/>
      <c r="J23" s="45"/>
      <c r="K23" s="45"/>
      <c r="L23" s="45"/>
      <c r="M23" s="45"/>
      <c r="N23" s="45"/>
      <c r="O23" s="45"/>
      <c r="P23" s="45"/>
      <c r="Q23" s="45"/>
      <c r="R23" s="45"/>
      <c r="S23" s="45"/>
      <c r="T23" s="35"/>
      <c r="U23" s="35"/>
      <c r="V23" s="35"/>
      <c r="W23" s="35"/>
      <c r="X23" s="35"/>
      <c r="Y23" s="35"/>
      <c r="Z23" s="35"/>
    </row>
    <row r="24" spans="1:26" ht="15.75" customHeight="1">
      <c r="A24" s="146"/>
      <c r="C24" s="136"/>
      <c r="D24" s="115"/>
      <c r="E24" s="115"/>
      <c r="F24" s="56"/>
      <c r="G24" s="56"/>
      <c r="H24" s="56"/>
      <c r="I24" s="56"/>
      <c r="J24" s="56"/>
      <c r="K24" s="56"/>
      <c r="L24" s="56"/>
      <c r="M24" s="56"/>
    </row>
    <row r="25" spans="1:26" ht="15.75" customHeight="1">
      <c r="A25" s="146"/>
      <c r="C25" s="77" t="s">
        <v>183</v>
      </c>
      <c r="D25" s="22"/>
      <c r="E25" s="59"/>
      <c r="F25" s="22"/>
      <c r="G25" s="22"/>
      <c r="H25" s="22"/>
      <c r="I25" s="22"/>
      <c r="J25" s="22"/>
      <c r="K25" s="56"/>
      <c r="L25" s="22"/>
      <c r="M25" s="22"/>
      <c r="N25" s="80"/>
      <c r="O25" s="80"/>
      <c r="P25" s="80"/>
      <c r="U25" s="104"/>
    </row>
    <row r="26" spans="1:26" ht="15.75" customHeight="1">
      <c r="A26" s="146" t="s">
        <v>426</v>
      </c>
      <c r="C26" s="79" t="s">
        <v>376</v>
      </c>
      <c r="D26" s="85" t="s">
        <v>292</v>
      </c>
      <c r="E26" s="59"/>
      <c r="F26" s="22"/>
      <c r="G26" s="22"/>
      <c r="H26" s="22"/>
      <c r="I26" s="22"/>
      <c r="J26" s="22"/>
      <c r="K26" s="56"/>
      <c r="L26" s="22"/>
      <c r="M26" s="22"/>
      <c r="N26" s="80"/>
      <c r="O26" s="80"/>
      <c r="P26" s="80"/>
      <c r="U26" s="104"/>
    </row>
    <row r="27" spans="1:26" ht="15.75" customHeight="1">
      <c r="A27" s="146" t="s">
        <v>184</v>
      </c>
      <c r="C27" s="79" t="s">
        <v>185</v>
      </c>
      <c r="D27" s="85" t="s">
        <v>142</v>
      </c>
      <c r="E27" s="22"/>
      <c r="F27" s="22"/>
      <c r="G27" s="22"/>
      <c r="H27" s="22"/>
      <c r="I27" s="22"/>
      <c r="J27" s="22"/>
      <c r="K27" s="22"/>
      <c r="L27" s="22"/>
      <c r="M27" s="93" t="s">
        <v>302</v>
      </c>
      <c r="N27" s="80"/>
      <c r="O27" s="80"/>
      <c r="P27" s="80"/>
      <c r="U27" s="104"/>
    </row>
    <row r="28" spans="1:26" ht="15.75" customHeight="1">
      <c r="A28" s="146" t="s">
        <v>511</v>
      </c>
      <c r="C28" s="79" t="s">
        <v>95</v>
      </c>
      <c r="D28" s="85" t="s">
        <v>292</v>
      </c>
      <c r="E28" s="22"/>
      <c r="F28" s="22"/>
      <c r="G28" s="22"/>
      <c r="H28" s="22"/>
      <c r="I28" s="22"/>
      <c r="J28" s="22"/>
      <c r="K28" s="22"/>
      <c r="L28" s="22"/>
      <c r="M28" s="93" t="s">
        <v>302</v>
      </c>
      <c r="N28" s="80"/>
      <c r="O28" s="80"/>
      <c r="P28" s="80"/>
      <c r="U28" s="104"/>
    </row>
    <row r="29" spans="1:26" ht="15.75" customHeight="1">
      <c r="A29" s="146"/>
      <c r="C29" s="136"/>
      <c r="D29" s="115"/>
      <c r="E29" s="115"/>
      <c r="F29" s="56"/>
      <c r="G29" s="56"/>
      <c r="H29" s="56"/>
      <c r="I29" s="56"/>
      <c r="J29" s="56"/>
      <c r="K29" s="56"/>
      <c r="L29" s="56"/>
      <c r="M29" s="56"/>
    </row>
    <row r="30" spans="1:26" ht="15.75" customHeight="1">
      <c r="A30" s="146"/>
      <c r="B30" s="49"/>
      <c r="C30" s="77" t="s">
        <v>303</v>
      </c>
      <c r="D30" s="22"/>
      <c r="E30" s="22"/>
      <c r="F30" s="22"/>
      <c r="G30" s="22"/>
      <c r="H30" s="22"/>
      <c r="I30" s="22"/>
      <c r="J30" s="22"/>
      <c r="K30" s="22"/>
      <c r="L30" s="22"/>
      <c r="M30" s="93"/>
      <c r="N30" s="80"/>
      <c r="O30" s="80"/>
      <c r="P30" s="80"/>
      <c r="U30" s="104"/>
    </row>
    <row r="31" spans="1:26" ht="15.75" customHeight="1">
      <c r="A31" s="146" t="s">
        <v>536</v>
      </c>
      <c r="B31" s="49"/>
      <c r="C31" s="79" t="s">
        <v>628</v>
      </c>
      <c r="D31" s="85" t="str">
        <f>Variables!I42</f>
        <v>ACT2020</v>
      </c>
      <c r="E31" s="139"/>
      <c r="G31" s="22"/>
      <c r="H31" s="22"/>
      <c r="I31" s="22"/>
      <c r="J31" s="22"/>
      <c r="K31" s="22"/>
      <c r="L31" s="22"/>
      <c r="M31" s="93" t="s">
        <v>302</v>
      </c>
      <c r="N31" s="80"/>
      <c r="O31" s="80"/>
      <c r="P31" s="80"/>
      <c r="U31" s="104"/>
    </row>
    <row r="32" spans="1:26" ht="15.75" customHeight="1">
      <c r="A32" s="146" t="s">
        <v>168</v>
      </c>
      <c r="B32" s="49"/>
      <c r="C32" s="79" t="s">
        <v>588</v>
      </c>
      <c r="D32" s="85" t="s">
        <v>886</v>
      </c>
      <c r="E32" s="139"/>
      <c r="G32" s="22"/>
      <c r="H32" s="22"/>
      <c r="I32" s="22"/>
      <c r="J32" s="22"/>
      <c r="K32" s="22"/>
      <c r="L32" s="22"/>
      <c r="M32" s="93" t="s">
        <v>302</v>
      </c>
      <c r="N32" s="80"/>
      <c r="O32" s="80"/>
      <c r="P32" s="80"/>
      <c r="U32" s="104"/>
    </row>
    <row r="33" spans="1:21" ht="15.75" customHeight="1">
      <c r="A33" s="146" t="s">
        <v>333</v>
      </c>
      <c r="B33" s="49"/>
      <c r="C33" s="79" t="s">
        <v>22</v>
      </c>
      <c r="D33" s="85" t="str">
        <f>D32</f>
        <v>DEPT.DEPT</v>
      </c>
      <c r="E33" s="139"/>
      <c r="G33" s="22"/>
      <c r="H33" s="22"/>
      <c r="I33" s="22"/>
      <c r="J33" s="22"/>
      <c r="K33" s="22"/>
      <c r="L33" s="22"/>
      <c r="M33" s="93" t="s">
        <v>302</v>
      </c>
      <c r="N33" s="80"/>
      <c r="O33" s="80"/>
      <c r="P33" s="80"/>
      <c r="U33" s="104"/>
    </row>
    <row r="34" spans="1:21" ht="15.75" customHeight="1">
      <c r="A34" s="146" t="s">
        <v>82</v>
      </c>
      <c r="B34" s="197"/>
      <c r="C34" s="79" t="s">
        <v>58</v>
      </c>
      <c r="D34" s="85" t="s">
        <v>709</v>
      </c>
      <c r="E34" s="167"/>
      <c r="G34" s="22"/>
      <c r="H34" s="22"/>
      <c r="I34" s="22"/>
      <c r="J34" s="22"/>
      <c r="K34" s="22"/>
      <c r="L34" s="22"/>
      <c r="M34" s="93" t="s">
        <v>302</v>
      </c>
      <c r="N34" s="80"/>
      <c r="O34" s="80"/>
      <c r="P34" s="80"/>
      <c r="U34" s="104"/>
    </row>
    <row r="35" spans="1:21" ht="15.75" customHeight="1">
      <c r="A35" s="146" t="s">
        <v>186</v>
      </c>
      <c r="B35" s="49"/>
      <c r="C35" s="79" t="s">
        <v>96</v>
      </c>
      <c r="D35" s="85"/>
      <c r="E35" s="139"/>
      <c r="G35" s="22"/>
      <c r="H35" s="22"/>
      <c r="I35" s="22"/>
      <c r="J35" s="22"/>
      <c r="K35" s="22"/>
      <c r="L35" s="22"/>
      <c r="M35" s="93"/>
      <c r="N35" s="80"/>
      <c r="O35" s="80"/>
      <c r="P35" s="80"/>
      <c r="U35" s="104"/>
    </row>
    <row r="36" spans="1:21" ht="15.75" customHeight="1">
      <c r="A36" s="146" t="s">
        <v>304</v>
      </c>
      <c r="B36" s="49"/>
      <c r="C36" s="79" t="s">
        <v>97</v>
      </c>
      <c r="D36" s="85"/>
      <c r="E36" s="139"/>
      <c r="G36" s="22"/>
      <c r="H36" s="22"/>
      <c r="I36" s="22"/>
      <c r="J36" s="22"/>
      <c r="K36" s="22"/>
      <c r="L36" s="22"/>
      <c r="M36" s="93"/>
      <c r="N36" s="80"/>
      <c r="O36" s="80"/>
      <c r="P36" s="80"/>
      <c r="U36" s="104"/>
    </row>
    <row r="37" spans="1:21" s="22" customFormat="1" ht="15.9" hidden="1" customHeight="1">
      <c r="A37" s="146" t="s">
        <v>491</v>
      </c>
      <c r="B37" s="49"/>
      <c r="C37" s="79" t="s">
        <v>125</v>
      </c>
      <c r="D37" s="49" t="s">
        <v>270</v>
      </c>
      <c r="E37" s="49"/>
      <c r="F37" s="49"/>
      <c r="G37" s="49"/>
      <c r="H37" s="49"/>
      <c r="I37" s="49"/>
      <c r="J37" s="49"/>
      <c r="K37" s="49"/>
      <c r="L37" s="49"/>
      <c r="M37" s="49"/>
      <c r="N37" s="49"/>
      <c r="O37" s="49"/>
      <c r="P37" s="49"/>
      <c r="Q37" s="49"/>
      <c r="R37" s="49"/>
      <c r="S37" s="49"/>
    </row>
    <row r="38" spans="1:21" s="22" customFormat="1" ht="15.9" hidden="1" customHeight="1">
      <c r="A38" s="146" t="s">
        <v>572</v>
      </c>
      <c r="B38" s="49"/>
      <c r="C38" s="79" t="s">
        <v>98</v>
      </c>
      <c r="D38" s="49" t="s">
        <v>292</v>
      </c>
      <c r="E38" s="49"/>
      <c r="F38" s="49"/>
      <c r="G38" s="49"/>
      <c r="H38" s="49"/>
      <c r="I38" s="49"/>
      <c r="J38" s="49"/>
      <c r="K38" s="49"/>
      <c r="L38" s="49"/>
      <c r="M38" s="49"/>
      <c r="N38" s="49"/>
      <c r="O38" s="49"/>
      <c r="P38" s="49"/>
      <c r="Q38" s="49"/>
      <c r="R38" s="49"/>
      <c r="S38" s="49"/>
    </row>
    <row r="39" spans="1:21" s="22" customFormat="1" ht="15.9" customHeight="1">
      <c r="A39" s="146"/>
      <c r="B39" s="49"/>
      <c r="C39" s="151"/>
      <c r="D39" s="151"/>
      <c r="E39" s="49"/>
      <c r="F39" s="49"/>
      <c r="G39" s="49"/>
      <c r="H39" s="49"/>
      <c r="I39" s="49"/>
      <c r="J39" s="49"/>
      <c r="K39" s="49"/>
      <c r="L39" s="49"/>
      <c r="M39" s="49"/>
      <c r="N39" s="49"/>
      <c r="O39" s="49"/>
      <c r="P39" s="49"/>
      <c r="Q39" s="49"/>
      <c r="R39" s="49"/>
      <c r="S39" s="49"/>
    </row>
    <row r="40" spans="1:21" ht="15.75" customHeight="1">
      <c r="A40" s="146"/>
      <c r="C40" s="77" t="s">
        <v>589</v>
      </c>
      <c r="D40" s="22"/>
      <c r="E40" s="59"/>
      <c r="F40" s="22"/>
      <c r="G40" s="22"/>
      <c r="H40" s="22"/>
      <c r="I40" s="22"/>
      <c r="J40" s="22"/>
      <c r="K40" s="56"/>
      <c r="L40" s="22"/>
      <c r="M40" s="22"/>
      <c r="N40" s="80"/>
      <c r="O40" s="80"/>
      <c r="P40" s="80"/>
      <c r="U40" s="104"/>
    </row>
    <row r="41" spans="1:21" ht="15.75" customHeight="1">
      <c r="A41" s="146" t="s">
        <v>59</v>
      </c>
      <c r="C41" s="79" t="s">
        <v>546</v>
      </c>
      <c r="D41" s="85" t="s">
        <v>464</v>
      </c>
      <c r="E41" s="22"/>
      <c r="F41" s="22"/>
      <c r="G41" s="22"/>
      <c r="H41" s="22"/>
      <c r="I41" s="22"/>
      <c r="J41" s="22"/>
      <c r="K41" s="22"/>
      <c r="L41" s="22"/>
      <c r="M41" s="93" t="s">
        <v>302</v>
      </c>
      <c r="N41" s="80"/>
      <c r="O41" s="80"/>
      <c r="P41" s="80"/>
      <c r="U41" s="104"/>
    </row>
    <row r="42" spans="1:21" ht="15.75" customHeight="1">
      <c r="A42" s="146" t="s">
        <v>629</v>
      </c>
      <c r="C42" s="79" t="s">
        <v>512</v>
      </c>
      <c r="D42" s="85" t="s">
        <v>630</v>
      </c>
      <c r="E42" s="22"/>
      <c r="F42" s="22"/>
      <c r="G42" s="22"/>
      <c r="H42" s="22"/>
      <c r="I42" s="22"/>
      <c r="J42" s="22"/>
      <c r="K42" s="22"/>
      <c r="L42" s="22"/>
      <c r="M42" s="93" t="s">
        <v>302</v>
      </c>
      <c r="N42" s="80"/>
      <c r="O42" s="80"/>
      <c r="P42" s="80"/>
      <c r="U42" s="104"/>
    </row>
    <row r="43" spans="1:21" ht="15.75" customHeight="1">
      <c r="A43" s="146"/>
      <c r="B43" s="49"/>
      <c r="C43" s="87"/>
      <c r="D43" s="22"/>
      <c r="E43" s="22"/>
      <c r="F43" s="22"/>
      <c r="G43" s="22"/>
      <c r="H43" s="22"/>
      <c r="I43" s="22"/>
      <c r="J43" s="22"/>
      <c r="K43" s="22"/>
      <c r="L43" s="22"/>
      <c r="M43" s="93"/>
      <c r="N43" s="80"/>
      <c r="O43" s="80"/>
      <c r="P43" s="80"/>
      <c r="U43" s="104"/>
    </row>
    <row r="44" spans="1:21" ht="15.75" customHeight="1">
      <c r="A44" s="146"/>
      <c r="C44" s="77" t="s">
        <v>547</v>
      </c>
      <c r="D44" s="22"/>
      <c r="E44" s="59"/>
      <c r="F44" s="22"/>
      <c r="G44" s="22"/>
      <c r="H44" s="22"/>
      <c r="I44" s="22"/>
      <c r="J44" s="22"/>
      <c r="K44" s="56"/>
      <c r="L44" s="22"/>
      <c r="M44" s="22"/>
      <c r="N44" s="80"/>
      <c r="O44" s="80"/>
      <c r="P44" s="80"/>
      <c r="U44" s="104"/>
    </row>
    <row r="45" spans="1:21" ht="15.75" customHeight="1">
      <c r="A45" s="146" t="s">
        <v>305</v>
      </c>
      <c r="C45" s="79" t="s">
        <v>271</v>
      </c>
      <c r="D45" s="85" t="s">
        <v>631</v>
      </c>
      <c r="E45" s="22"/>
      <c r="F45" s="22"/>
      <c r="G45" s="22"/>
      <c r="H45" s="22"/>
      <c r="I45" s="22"/>
      <c r="J45" s="22"/>
      <c r="K45" s="22"/>
      <c r="L45" s="22"/>
      <c r="M45" s="93" t="s">
        <v>302</v>
      </c>
      <c r="N45" s="80"/>
      <c r="O45" s="80"/>
      <c r="P45" s="80"/>
      <c r="U45" s="104"/>
    </row>
    <row r="46" spans="1:21" ht="15.75" customHeight="1">
      <c r="A46" s="146" t="s">
        <v>187</v>
      </c>
      <c r="C46" s="79" t="s">
        <v>632</v>
      </c>
      <c r="D46" s="85" t="s">
        <v>292</v>
      </c>
      <c r="E46" s="22"/>
      <c r="F46" s="22"/>
      <c r="G46" s="22"/>
      <c r="H46" s="22"/>
      <c r="I46" s="22"/>
      <c r="J46" s="22"/>
      <c r="K46" s="22"/>
      <c r="L46" s="22"/>
      <c r="M46" s="93"/>
      <c r="N46" s="80"/>
      <c r="O46" s="80"/>
      <c r="P46" s="80"/>
      <c r="U46" s="104"/>
    </row>
    <row r="47" spans="1:21" ht="15.75" customHeight="1">
      <c r="A47" s="146"/>
      <c r="B47" s="49"/>
      <c r="C47" s="87"/>
      <c r="D47" s="22"/>
      <c r="E47" s="22"/>
      <c r="F47" s="22"/>
      <c r="G47" s="22"/>
      <c r="H47" s="22"/>
      <c r="I47" s="22"/>
      <c r="J47" s="22"/>
      <c r="K47" s="22"/>
      <c r="L47" s="22"/>
      <c r="M47" s="93"/>
      <c r="N47" s="80"/>
      <c r="O47" s="80"/>
      <c r="P47" s="80"/>
      <c r="U47" s="104"/>
    </row>
    <row r="48" spans="1:21" ht="15.75" customHeight="1">
      <c r="A48" s="146"/>
      <c r="B48" s="49"/>
      <c r="C48" s="77" t="s">
        <v>548</v>
      </c>
      <c r="D48" s="22"/>
      <c r="E48" s="59"/>
      <c r="F48" s="22"/>
      <c r="G48" s="22"/>
      <c r="H48" s="22"/>
      <c r="I48" s="22"/>
      <c r="J48" s="22"/>
      <c r="K48" s="56"/>
      <c r="L48" s="22"/>
      <c r="M48" s="22"/>
      <c r="N48" s="80"/>
      <c r="O48" s="80"/>
      <c r="P48" s="80"/>
      <c r="U48" s="104"/>
    </row>
    <row r="49" spans="1:21" ht="15.75" customHeight="1">
      <c r="A49" s="146" t="s">
        <v>377</v>
      </c>
      <c r="C49" s="79" t="s">
        <v>23</v>
      </c>
      <c r="D49" s="85" t="s">
        <v>69</v>
      </c>
      <c r="E49" s="22"/>
      <c r="F49" s="22"/>
      <c r="G49" s="22"/>
      <c r="H49" s="22"/>
      <c r="I49" s="22"/>
      <c r="J49" s="22"/>
      <c r="K49" s="22"/>
      <c r="L49" s="22"/>
      <c r="M49" s="93" t="s">
        <v>302</v>
      </c>
      <c r="N49" s="80"/>
      <c r="O49" s="80"/>
      <c r="P49" s="80"/>
      <c r="U49" s="104"/>
    </row>
    <row r="50" spans="1:21" ht="15.75" customHeight="1">
      <c r="A50" s="146" t="s">
        <v>306</v>
      </c>
      <c r="C50" s="79" t="s">
        <v>590</v>
      </c>
      <c r="D50" s="85" t="s">
        <v>591</v>
      </c>
      <c r="E50" s="22"/>
      <c r="F50" s="22"/>
      <c r="G50" s="22"/>
      <c r="H50" s="22"/>
      <c r="I50" s="22"/>
      <c r="J50" s="22"/>
      <c r="K50" s="22"/>
      <c r="L50" s="22"/>
      <c r="M50" s="93" t="s">
        <v>302</v>
      </c>
      <c r="N50" s="80"/>
      <c r="O50" s="80"/>
      <c r="P50" s="80"/>
      <c r="U50" s="104"/>
    </row>
    <row r="51" spans="1:21" ht="15.75" customHeight="1">
      <c r="A51" s="146" t="s">
        <v>272</v>
      </c>
      <c r="C51" s="79" t="s">
        <v>592</v>
      </c>
      <c r="D51" s="85"/>
      <c r="E51" s="22"/>
      <c r="F51" s="22"/>
      <c r="G51" s="22"/>
      <c r="H51" s="22"/>
      <c r="I51" s="22"/>
      <c r="J51" s="22"/>
      <c r="K51" s="22"/>
      <c r="L51" s="22"/>
      <c r="M51" s="93" t="s">
        <v>302</v>
      </c>
      <c r="N51" s="80"/>
      <c r="O51" s="80"/>
      <c r="P51" s="80"/>
      <c r="U51" s="104"/>
    </row>
    <row r="52" spans="1:21" ht="15.75" customHeight="1">
      <c r="A52" s="146" t="s">
        <v>188</v>
      </c>
      <c r="C52" s="79" t="s">
        <v>60</v>
      </c>
      <c r="D52" s="85" t="s">
        <v>593</v>
      </c>
      <c r="E52" s="22"/>
      <c r="F52" s="22"/>
      <c r="G52" s="22"/>
      <c r="H52" s="22"/>
      <c r="I52" s="22"/>
      <c r="J52" s="22"/>
      <c r="K52" s="22"/>
      <c r="L52" s="22"/>
      <c r="M52" s="93" t="s">
        <v>302</v>
      </c>
      <c r="N52" s="80"/>
      <c r="O52" s="80"/>
      <c r="P52" s="80"/>
      <c r="U52" s="104"/>
    </row>
    <row r="53" spans="1:21" ht="15.75" customHeight="1">
      <c r="A53" s="146" t="s">
        <v>189</v>
      </c>
      <c r="C53" s="79" t="s">
        <v>633</v>
      </c>
      <c r="D53" s="85" t="s">
        <v>549</v>
      </c>
      <c r="E53" s="22"/>
      <c r="F53" s="22"/>
      <c r="G53" s="22"/>
      <c r="H53" s="22"/>
      <c r="I53" s="22"/>
      <c r="J53" s="22"/>
      <c r="K53" s="22"/>
      <c r="L53" s="22"/>
      <c r="M53" s="93" t="s">
        <v>302</v>
      </c>
      <c r="N53" s="80"/>
      <c r="O53" s="80"/>
      <c r="P53" s="80"/>
      <c r="U53" s="104"/>
    </row>
    <row r="54" spans="1:21" ht="15.75" customHeight="1">
      <c r="A54" s="146" t="s">
        <v>594</v>
      </c>
      <c r="C54" s="79" t="s">
        <v>307</v>
      </c>
      <c r="D54" s="85" t="s">
        <v>465</v>
      </c>
      <c r="E54" s="22"/>
      <c r="F54" s="22"/>
      <c r="G54" s="22"/>
      <c r="H54" s="22"/>
      <c r="I54" s="22"/>
      <c r="J54" s="22"/>
      <c r="K54" s="22"/>
      <c r="L54" s="22"/>
      <c r="M54" s="93"/>
      <c r="N54" s="80"/>
      <c r="O54" s="80"/>
      <c r="P54" s="80"/>
      <c r="U54" s="104"/>
    </row>
    <row r="55" spans="1:21" ht="15.75" customHeight="1">
      <c r="A55" s="146" t="s">
        <v>378</v>
      </c>
      <c r="C55" s="79" t="s">
        <v>595</v>
      </c>
      <c r="D55" s="85" t="s">
        <v>308</v>
      </c>
      <c r="E55" s="22"/>
      <c r="F55" s="22"/>
      <c r="G55" s="22"/>
      <c r="H55" s="22"/>
      <c r="I55" s="22"/>
      <c r="J55" s="22"/>
      <c r="K55" s="22"/>
      <c r="L55" s="22"/>
      <c r="M55" s="93"/>
      <c r="N55" s="80"/>
      <c r="O55" s="80"/>
      <c r="P55" s="80"/>
      <c r="U55" s="104"/>
    </row>
    <row r="56" spans="1:21" ht="15.75" customHeight="1">
      <c r="A56" s="146" t="s">
        <v>352</v>
      </c>
      <c r="C56" s="79" t="s">
        <v>61</v>
      </c>
      <c r="D56" s="85" t="s">
        <v>484</v>
      </c>
      <c r="E56" s="22"/>
      <c r="F56" s="22"/>
      <c r="G56" s="22"/>
      <c r="H56" s="22"/>
      <c r="I56" s="22"/>
      <c r="J56" s="22"/>
      <c r="K56" s="22"/>
      <c r="L56" s="22"/>
      <c r="M56" s="93"/>
      <c r="N56" s="80"/>
      <c r="O56" s="80"/>
      <c r="P56" s="80"/>
      <c r="U56" s="104"/>
    </row>
    <row r="57" spans="1:21" ht="15.75" customHeight="1">
      <c r="A57" s="146"/>
      <c r="B57" s="49"/>
      <c r="C57" s="87"/>
      <c r="D57" s="22"/>
      <c r="E57" s="22"/>
      <c r="F57" s="22"/>
      <c r="G57" s="22"/>
      <c r="H57" s="22"/>
      <c r="I57" s="22"/>
      <c r="J57" s="22"/>
      <c r="K57" s="22"/>
      <c r="L57" s="22"/>
      <c r="M57" s="93"/>
      <c r="N57" s="80"/>
      <c r="O57" s="80"/>
      <c r="P57" s="80"/>
      <c r="U57" s="104"/>
    </row>
    <row r="58" spans="1:21" ht="15.75" customHeight="1">
      <c r="A58" s="146"/>
      <c r="C58" s="77" t="s">
        <v>138</v>
      </c>
      <c r="D58" s="22"/>
      <c r="E58" s="59"/>
      <c r="F58" s="22"/>
      <c r="G58" s="22"/>
      <c r="H58" s="22"/>
      <c r="I58" s="22"/>
      <c r="J58" s="22"/>
      <c r="K58" s="56"/>
      <c r="L58" s="22"/>
      <c r="M58" s="22"/>
      <c r="N58" s="80"/>
      <c r="O58" s="80"/>
      <c r="P58" s="80"/>
      <c r="U58" s="104"/>
    </row>
    <row r="59" spans="1:21" ht="15.75" customHeight="1">
      <c r="A59" s="146" t="s">
        <v>99</v>
      </c>
      <c r="C59" s="79" t="s">
        <v>100</v>
      </c>
      <c r="D59" s="85" t="s">
        <v>597</v>
      </c>
      <c r="E59" s="22"/>
      <c r="F59" s="22"/>
      <c r="G59" s="22"/>
      <c r="H59" s="22"/>
      <c r="I59" s="22"/>
      <c r="J59" s="22"/>
      <c r="K59" s="22"/>
      <c r="L59" s="22"/>
      <c r="M59" s="93" t="s">
        <v>302</v>
      </c>
      <c r="N59" s="80"/>
      <c r="O59" s="80"/>
      <c r="P59" s="80"/>
      <c r="U59" s="104"/>
    </row>
    <row r="60" spans="1:21" ht="15.75" customHeight="1">
      <c r="A60" s="146" t="s">
        <v>280</v>
      </c>
      <c r="C60" s="79" t="s">
        <v>30</v>
      </c>
      <c r="D60" s="85" t="s">
        <v>648</v>
      </c>
      <c r="E60" s="22"/>
      <c r="F60" s="22"/>
      <c r="G60" s="22"/>
      <c r="H60" s="22"/>
      <c r="I60" s="22"/>
      <c r="J60" s="22"/>
      <c r="K60" s="22"/>
      <c r="L60" s="22"/>
      <c r="M60" s="93"/>
      <c r="N60" s="80"/>
      <c r="O60" s="80"/>
      <c r="P60" s="80"/>
      <c r="U60" s="104"/>
    </row>
    <row r="61" spans="1:21" ht="15.75" customHeight="1">
      <c r="A61" s="146" t="s">
        <v>513</v>
      </c>
      <c r="C61" s="79" t="s">
        <v>353</v>
      </c>
      <c r="D61" s="85"/>
      <c r="E61" s="22"/>
      <c r="F61" s="22"/>
      <c r="G61" s="22"/>
      <c r="H61" s="22"/>
      <c r="I61" s="22"/>
      <c r="J61" s="22"/>
      <c r="K61" s="22"/>
      <c r="L61" s="22"/>
      <c r="M61" s="93"/>
      <c r="N61" s="80"/>
      <c r="O61" s="80"/>
      <c r="P61" s="80"/>
      <c r="U61" s="104"/>
    </row>
    <row r="62" spans="1:21" ht="15.75" customHeight="1">
      <c r="A62" s="146" t="s">
        <v>101</v>
      </c>
      <c r="C62" s="79" t="s">
        <v>24</v>
      </c>
      <c r="D62" s="85"/>
      <c r="E62" s="22"/>
      <c r="F62" s="22"/>
      <c r="G62" s="22"/>
      <c r="H62" s="22"/>
      <c r="I62" s="22"/>
      <c r="J62" s="22"/>
      <c r="K62" s="22"/>
      <c r="L62" s="22"/>
      <c r="M62" s="93" t="s">
        <v>302</v>
      </c>
      <c r="N62" s="80"/>
      <c r="O62" s="80"/>
      <c r="P62" s="80"/>
      <c r="U62" s="104"/>
    </row>
    <row r="63" spans="1:21" ht="15.75" customHeight="1">
      <c r="A63" s="146" t="s">
        <v>466</v>
      </c>
      <c r="C63" s="79" t="s">
        <v>514</v>
      </c>
      <c r="D63" s="85"/>
      <c r="E63" s="22"/>
      <c r="F63" s="22"/>
      <c r="G63" s="22"/>
      <c r="H63" s="22"/>
      <c r="I63" s="22"/>
      <c r="J63" s="22"/>
      <c r="K63" s="22"/>
      <c r="L63" s="22"/>
      <c r="M63" s="93"/>
      <c r="N63" s="80"/>
      <c r="O63" s="80"/>
      <c r="P63" s="80"/>
      <c r="U63" s="104"/>
    </row>
    <row r="64" spans="1:21" ht="15.75" customHeight="1">
      <c r="A64" s="146"/>
      <c r="B64" s="49"/>
      <c r="C64" s="87"/>
      <c r="D64" s="22"/>
      <c r="E64" s="22"/>
      <c r="F64" s="22"/>
      <c r="G64" s="22"/>
      <c r="H64" s="22"/>
      <c r="I64" s="22"/>
      <c r="J64" s="22"/>
      <c r="K64" s="22"/>
      <c r="L64" s="22"/>
      <c r="M64" s="93"/>
      <c r="N64" s="80"/>
      <c r="O64" s="80"/>
      <c r="P64" s="80"/>
      <c r="U64" s="104"/>
    </row>
    <row r="65" spans="1:26" ht="15.75" customHeight="1">
      <c r="A65" s="146"/>
      <c r="C65" s="77" t="s">
        <v>102</v>
      </c>
      <c r="D65" s="22"/>
      <c r="E65" s="59"/>
      <c r="F65" s="22"/>
      <c r="G65" s="22"/>
      <c r="H65" s="22"/>
      <c r="I65" s="22"/>
      <c r="J65" s="22"/>
      <c r="K65" s="56"/>
      <c r="L65" s="22"/>
      <c r="M65" s="22"/>
      <c r="N65" s="80"/>
      <c r="O65" s="80"/>
      <c r="P65" s="80"/>
      <c r="U65" s="104"/>
    </row>
    <row r="66" spans="1:26" ht="15.75" customHeight="1">
      <c r="A66" s="146" t="s">
        <v>190</v>
      </c>
      <c r="C66" s="79" t="s">
        <v>235</v>
      </c>
      <c r="D66" s="85"/>
      <c r="E66" s="22"/>
      <c r="F66" s="22"/>
      <c r="G66" s="22"/>
      <c r="H66" s="22"/>
      <c r="I66" s="22"/>
      <c r="J66" s="22"/>
      <c r="K66" s="22"/>
      <c r="L66" s="22"/>
      <c r="M66" s="93" t="s">
        <v>302</v>
      </c>
      <c r="N66" s="80"/>
      <c r="O66" s="80"/>
      <c r="P66" s="80"/>
      <c r="U66" s="104"/>
    </row>
    <row r="67" spans="1:26" ht="15.75" customHeight="1">
      <c r="A67" s="146" t="s">
        <v>139</v>
      </c>
      <c r="C67" s="79" t="s">
        <v>62</v>
      </c>
      <c r="D67" s="85"/>
      <c r="E67" s="22"/>
      <c r="F67" s="22"/>
      <c r="G67" s="22"/>
      <c r="H67" s="22"/>
      <c r="I67" s="22"/>
      <c r="J67" s="22"/>
      <c r="K67" s="22"/>
      <c r="L67" s="22"/>
      <c r="M67" s="93" t="s">
        <v>302</v>
      </c>
      <c r="N67" s="80"/>
      <c r="O67" s="80"/>
      <c r="P67" s="80"/>
      <c r="U67" s="104"/>
    </row>
    <row r="68" spans="1:26" ht="15.75" customHeight="1">
      <c r="A68" s="146"/>
      <c r="B68" s="49"/>
      <c r="C68" s="87"/>
      <c r="D68" s="22"/>
      <c r="E68" s="22"/>
      <c r="F68" s="22"/>
      <c r="G68" s="22"/>
      <c r="H68" s="22"/>
      <c r="I68" s="22"/>
      <c r="J68" s="22"/>
      <c r="K68" s="22"/>
      <c r="L68" s="22"/>
      <c r="M68" s="93"/>
      <c r="N68" s="80"/>
      <c r="O68" s="80"/>
      <c r="P68" s="80"/>
      <c r="U68" s="104"/>
    </row>
    <row r="69" spans="1:26" ht="15.75" customHeight="1">
      <c r="A69" s="146"/>
      <c r="B69" s="49"/>
      <c r="C69" s="77" t="s">
        <v>25</v>
      </c>
      <c r="D69" s="22"/>
      <c r="E69" s="59"/>
      <c r="F69" s="22"/>
    </row>
    <row r="70" spans="1:26" s="104" customFormat="1" ht="15.75" customHeight="1">
      <c r="A70" s="146" t="s">
        <v>515</v>
      </c>
      <c r="B70" s="22"/>
      <c r="C70" s="79" t="s">
        <v>467</v>
      </c>
      <c r="D70" s="85"/>
      <c r="E70" s="22"/>
      <c r="F70" s="22"/>
      <c r="G70" s="59"/>
      <c r="H70" s="59"/>
      <c r="I70" s="59"/>
      <c r="J70" s="59"/>
      <c r="K70" s="59"/>
      <c r="L70" s="59"/>
      <c r="M70" s="134"/>
    </row>
    <row r="71" spans="1:26" s="104" customFormat="1" ht="15.75" customHeight="1">
      <c r="A71" s="146" t="s">
        <v>427</v>
      </c>
      <c r="B71" s="22"/>
      <c r="C71" s="79" t="s">
        <v>103</v>
      </c>
      <c r="D71" s="85"/>
      <c r="E71" s="22"/>
      <c r="F71" s="22"/>
      <c r="G71" s="59"/>
      <c r="H71" s="59"/>
      <c r="I71" s="59"/>
      <c r="J71" s="59"/>
      <c r="K71" s="59"/>
      <c r="L71" s="59"/>
      <c r="M71" s="134"/>
    </row>
    <row r="72" spans="1:26" s="104" customFormat="1" ht="15.75" customHeight="1">
      <c r="A72" s="146" t="s">
        <v>191</v>
      </c>
      <c r="B72" s="22"/>
      <c r="C72" s="79" t="s">
        <v>309</v>
      </c>
      <c r="D72" s="85" t="s">
        <v>140</v>
      </c>
      <c r="E72" s="22"/>
      <c r="F72" s="22"/>
      <c r="G72" s="59"/>
      <c r="H72" s="59"/>
      <c r="I72" s="59"/>
      <c r="J72" s="59"/>
      <c r="K72" s="59"/>
      <c r="L72" s="59"/>
      <c r="M72" s="134"/>
    </row>
    <row r="73" spans="1:26" s="104" customFormat="1" ht="15.75" customHeight="1">
      <c r="A73" s="146" t="s">
        <v>192</v>
      </c>
      <c r="B73" s="22"/>
      <c r="C73" s="79" t="s">
        <v>634</v>
      </c>
      <c r="D73" s="85"/>
      <c r="E73" s="22"/>
      <c r="F73" s="22"/>
      <c r="G73" s="59"/>
      <c r="H73" s="59"/>
      <c r="I73" s="59"/>
      <c r="J73" s="59"/>
      <c r="K73" s="59"/>
      <c r="L73" s="59"/>
      <c r="M73" s="134"/>
    </row>
    <row r="74" spans="1:26" s="104" customFormat="1" ht="71.099999999999994" customHeight="1">
      <c r="A74" s="146" t="s">
        <v>379</v>
      </c>
      <c r="B74" s="22"/>
      <c r="C74" s="79" t="s">
        <v>635</v>
      </c>
      <c r="D74" s="160"/>
      <c r="E74" s="22"/>
      <c r="F74" s="22"/>
      <c r="G74" s="59"/>
      <c r="H74" s="59"/>
      <c r="I74" s="59"/>
      <c r="J74" s="59"/>
      <c r="K74" s="59"/>
      <c r="L74" s="59"/>
      <c r="M74" s="134"/>
    </row>
    <row r="75" spans="1:26" s="104" customFormat="1" ht="15.75" customHeight="1">
      <c r="A75" s="146"/>
      <c r="B75" s="49"/>
      <c r="C75" s="87"/>
      <c r="D75" s="22"/>
      <c r="E75" s="22"/>
      <c r="F75" s="22"/>
      <c r="G75" s="59"/>
      <c r="H75" s="59"/>
      <c r="I75" s="59"/>
      <c r="J75" s="59"/>
      <c r="K75" s="59"/>
      <c r="L75" s="59"/>
      <c r="M75" s="134"/>
    </row>
    <row r="76" spans="1:26" s="104" customFormat="1" ht="15.75" customHeight="1">
      <c r="A76" s="146"/>
      <c r="B76" s="49"/>
      <c r="C76" s="77" t="s">
        <v>274</v>
      </c>
      <c r="D76" s="22"/>
      <c r="E76" s="22"/>
      <c r="F76" s="22"/>
      <c r="G76" s="59"/>
      <c r="H76" s="59"/>
      <c r="I76" s="59"/>
      <c r="J76" s="59"/>
      <c r="K76" s="59"/>
      <c r="L76" s="59"/>
      <c r="M76" s="134"/>
    </row>
    <row r="77" spans="1:26" s="128" customFormat="1" ht="15.75" customHeight="1">
      <c r="A77" s="125" t="s">
        <v>550</v>
      </c>
      <c r="B77" s="121"/>
      <c r="C77" s="79" t="s">
        <v>636</v>
      </c>
      <c r="D77" s="163"/>
      <c r="E77" s="35"/>
      <c r="F77" s="35"/>
      <c r="G77" s="35"/>
      <c r="H77" s="35"/>
      <c r="I77" s="35"/>
      <c r="J77" s="35"/>
      <c r="K77" s="35"/>
      <c r="L77" s="35"/>
      <c r="M77" s="35"/>
      <c r="N77" s="35"/>
      <c r="O77" s="35"/>
      <c r="P77" s="35"/>
      <c r="Q77" s="35"/>
      <c r="R77" s="35"/>
      <c r="S77" s="35"/>
      <c r="T77" s="35"/>
      <c r="U77" s="35"/>
      <c r="V77" s="35"/>
      <c r="W77" s="35"/>
      <c r="X77" s="35"/>
      <c r="Y77" s="35"/>
      <c r="Z77" s="35"/>
    </row>
    <row r="78" spans="1:26" s="128" customFormat="1" ht="15.75" customHeight="1">
      <c r="A78" s="125" t="s">
        <v>354</v>
      </c>
      <c r="B78" s="121"/>
      <c r="C78" s="79" t="s">
        <v>380</v>
      </c>
      <c r="D78" s="163"/>
      <c r="E78" s="35"/>
      <c r="F78" s="35"/>
      <c r="G78" s="35"/>
      <c r="H78" s="35"/>
      <c r="I78" s="35"/>
      <c r="J78" s="35"/>
      <c r="K78" s="35"/>
      <c r="L78" s="35"/>
      <c r="M78" s="35"/>
      <c r="N78" s="35"/>
      <c r="O78" s="35"/>
      <c r="P78" s="35"/>
      <c r="Q78" s="35"/>
      <c r="R78" s="35"/>
      <c r="S78" s="35"/>
      <c r="T78" s="35"/>
      <c r="U78" s="35"/>
      <c r="V78" s="35"/>
      <c r="W78" s="35"/>
      <c r="X78" s="35"/>
      <c r="Y78" s="35"/>
      <c r="Z78" s="35"/>
    </row>
    <row r="79" spans="1:26">
      <c r="A79" s="133"/>
      <c r="B79" s="49"/>
      <c r="D79" s="206"/>
    </row>
    <row r="80" spans="1:26">
      <c r="A80" s="127"/>
      <c r="B80" s="49"/>
      <c r="D80" s="50"/>
      <c r="E80" s="50"/>
      <c r="F80" s="76"/>
      <c r="G80" s="50"/>
      <c r="H80" s="50"/>
      <c r="I80" s="50"/>
      <c r="J80" s="50"/>
      <c r="K80" s="50"/>
      <c r="L80" s="50"/>
      <c r="M80" s="50"/>
      <c r="N80" s="50"/>
      <c r="O80" s="50"/>
      <c r="P80" s="50"/>
      <c r="Q80" s="50"/>
      <c r="R80" s="50"/>
      <c r="S80" s="50"/>
      <c r="T80" s="50"/>
      <c r="U80" s="50"/>
      <c r="V80" s="50"/>
      <c r="W80" s="50"/>
    </row>
    <row r="81" spans="1:23">
      <c r="A81" s="149"/>
      <c r="C81" s="145"/>
      <c r="D81" s="165"/>
      <c r="E81" s="86"/>
      <c r="F81" s="76"/>
      <c r="G81" s="50"/>
      <c r="H81" s="50"/>
      <c r="I81" s="50"/>
      <c r="J81" s="50"/>
      <c r="K81" s="50"/>
      <c r="L81" s="50"/>
      <c r="M81" s="50"/>
      <c r="N81" s="50"/>
      <c r="O81" s="50"/>
      <c r="P81" s="50"/>
      <c r="Q81" s="50"/>
      <c r="R81" s="50"/>
      <c r="S81" s="50"/>
      <c r="T81" s="50"/>
      <c r="U81" s="50"/>
      <c r="V81" s="50"/>
      <c r="W81" s="50"/>
    </row>
    <row r="82" spans="1:23">
      <c r="A82" s="149"/>
      <c r="B82" s="49"/>
      <c r="C82" s="145"/>
      <c r="D82" s="76"/>
      <c r="E82" s="81" t="s">
        <v>516</v>
      </c>
      <c r="F82" s="81" t="s">
        <v>381</v>
      </c>
      <c r="G82" s="81" t="s">
        <v>310</v>
      </c>
      <c r="H82" s="81" t="s">
        <v>382</v>
      </c>
      <c r="I82" s="81" t="s">
        <v>637</v>
      </c>
      <c r="J82" s="81" t="s">
        <v>355</v>
      </c>
      <c r="K82" s="81" t="s">
        <v>596</v>
      </c>
      <c r="L82" s="81" t="s">
        <v>26</v>
      </c>
      <c r="M82" s="81" t="s">
        <v>63</v>
      </c>
      <c r="N82" s="50"/>
      <c r="O82" s="50"/>
      <c r="P82" s="50"/>
      <c r="Q82" s="50"/>
      <c r="R82" s="50"/>
      <c r="S82" s="50"/>
      <c r="T82" s="50"/>
      <c r="U82" s="50"/>
      <c r="V82" s="50"/>
      <c r="W82" s="50"/>
    </row>
    <row r="83" spans="1:23">
      <c r="A83" s="149"/>
      <c r="B83" s="49"/>
      <c r="C83" s="145"/>
      <c r="D83" s="76"/>
      <c r="E83" s="81" t="s">
        <v>464</v>
      </c>
      <c r="F83" s="81" t="s">
        <v>597</v>
      </c>
      <c r="G83" s="81" t="s">
        <v>301</v>
      </c>
      <c r="H83" s="81" t="s">
        <v>308</v>
      </c>
      <c r="I83" s="81" t="s">
        <v>465</v>
      </c>
      <c r="J83" s="81" t="s">
        <v>631</v>
      </c>
      <c r="K83" s="81" t="s">
        <v>140</v>
      </c>
      <c r="L83" s="81" t="s">
        <v>193</v>
      </c>
      <c r="M83" s="81" t="s">
        <v>484</v>
      </c>
      <c r="N83" s="50"/>
      <c r="O83" s="50"/>
      <c r="P83" s="50"/>
      <c r="Q83" s="50"/>
      <c r="R83" s="50"/>
      <c r="S83" s="50"/>
      <c r="T83" s="50"/>
      <c r="U83" s="50"/>
      <c r="V83" s="50"/>
      <c r="W83" s="50"/>
    </row>
    <row r="84" spans="1:23">
      <c r="A84" s="149"/>
      <c r="B84" s="49"/>
      <c r="C84" s="145"/>
      <c r="D84" s="76"/>
      <c r="E84" s="81" t="s">
        <v>598</v>
      </c>
      <c r="F84" s="81" t="s">
        <v>273</v>
      </c>
      <c r="G84" s="81" t="s">
        <v>383</v>
      </c>
      <c r="H84" s="81" t="s">
        <v>194</v>
      </c>
      <c r="I84" s="81" t="s">
        <v>311</v>
      </c>
      <c r="J84" s="81" t="s">
        <v>312</v>
      </c>
      <c r="K84" s="81" t="s">
        <v>313</v>
      </c>
      <c r="L84" s="81" t="s">
        <v>630</v>
      </c>
      <c r="M84" s="81" t="s">
        <v>292</v>
      </c>
      <c r="N84" s="50"/>
      <c r="O84" s="50"/>
      <c r="P84" s="50"/>
      <c r="Q84" s="50"/>
      <c r="R84" s="50"/>
      <c r="S84" s="50"/>
      <c r="T84" s="50"/>
      <c r="U84" s="50"/>
      <c r="V84" s="50"/>
      <c r="W84" s="50"/>
    </row>
    <row r="85" spans="1:23">
      <c r="A85" s="149"/>
      <c r="B85" s="49"/>
      <c r="C85" s="145"/>
      <c r="D85" s="76"/>
      <c r="E85" s="81" t="s">
        <v>275</v>
      </c>
      <c r="F85" s="81" t="s">
        <v>141</v>
      </c>
      <c r="G85" s="81" t="s">
        <v>142</v>
      </c>
      <c r="H85" s="81"/>
      <c r="I85" s="81" t="s">
        <v>236</v>
      </c>
      <c r="J85" s="81" t="s">
        <v>143</v>
      </c>
      <c r="K85" s="81"/>
      <c r="L85" s="81"/>
      <c r="M85" s="81"/>
      <c r="N85" s="50"/>
      <c r="O85" s="50"/>
      <c r="P85" s="50"/>
      <c r="Q85" s="50"/>
      <c r="R85" s="50"/>
      <c r="S85" s="50"/>
      <c r="T85" s="50"/>
      <c r="U85" s="50"/>
      <c r="V85" s="50"/>
      <c r="W85" s="50"/>
    </row>
    <row r="86" spans="1:23">
      <c r="A86" s="149"/>
      <c r="B86" s="49"/>
      <c r="C86" s="145"/>
      <c r="D86" s="76"/>
      <c r="E86" s="81" t="s">
        <v>638</v>
      </c>
      <c r="F86" s="81"/>
      <c r="G86" s="81" t="s">
        <v>144</v>
      </c>
      <c r="H86" s="81"/>
      <c r="I86" s="81"/>
      <c r="J86" s="81" t="s">
        <v>195</v>
      </c>
      <c r="K86" s="81"/>
      <c r="L86" s="81"/>
      <c r="M86" s="81"/>
      <c r="N86" s="50"/>
      <c r="O86" s="50"/>
      <c r="P86" s="50"/>
      <c r="Q86" s="50"/>
      <c r="R86" s="50"/>
      <c r="S86" s="50"/>
      <c r="T86" s="50"/>
      <c r="U86" s="50"/>
      <c r="V86" s="50"/>
      <c r="W86" s="50"/>
    </row>
    <row r="87" spans="1:23">
      <c r="A87" s="149"/>
      <c r="B87" s="49"/>
      <c r="C87" s="145"/>
      <c r="D87" s="76"/>
      <c r="E87" s="81"/>
      <c r="F87" s="81"/>
      <c r="G87" s="81" t="s">
        <v>356</v>
      </c>
      <c r="H87" s="81"/>
      <c r="I87" s="81"/>
      <c r="J87" s="81" t="s">
        <v>384</v>
      </c>
      <c r="K87" s="81"/>
      <c r="L87" s="81"/>
      <c r="M87" s="81"/>
      <c r="N87" s="50"/>
      <c r="O87" s="50"/>
      <c r="P87" s="50"/>
      <c r="Q87" s="50"/>
      <c r="R87" s="50"/>
      <c r="S87" s="50"/>
      <c r="T87" s="50"/>
      <c r="U87" s="50"/>
      <c r="V87" s="50"/>
      <c r="W87" s="50"/>
    </row>
    <row r="88" spans="1:23">
      <c r="A88" s="149"/>
      <c r="B88" s="49"/>
      <c r="C88" s="145"/>
      <c r="D88" s="76"/>
      <c r="E88" s="81"/>
      <c r="F88" s="81"/>
      <c r="G88" s="81" t="s">
        <v>196</v>
      </c>
      <c r="H88" s="81"/>
      <c r="I88" s="81"/>
      <c r="J88" s="81" t="s">
        <v>384</v>
      </c>
      <c r="K88" s="81"/>
      <c r="L88" s="81"/>
      <c r="M88" s="81"/>
      <c r="N88" s="50"/>
      <c r="O88" s="50"/>
      <c r="P88" s="50"/>
      <c r="Q88" s="50"/>
      <c r="R88" s="50"/>
      <c r="S88" s="50"/>
      <c r="T88" s="50"/>
      <c r="U88" s="50"/>
      <c r="V88" s="50"/>
      <c r="W88" s="50"/>
    </row>
    <row r="89" spans="1:23">
      <c r="A89" s="149"/>
      <c r="B89" s="49"/>
      <c r="C89" s="145"/>
      <c r="D89" s="76"/>
      <c r="E89" s="81"/>
      <c r="F89" s="81"/>
      <c r="G89" s="81"/>
      <c r="H89" s="81"/>
      <c r="I89" s="81"/>
      <c r="J89" s="81" t="s">
        <v>237</v>
      </c>
      <c r="K89" s="81"/>
      <c r="L89" s="81"/>
      <c r="M89" s="81"/>
      <c r="N89" s="50"/>
      <c r="O89" s="50"/>
      <c r="P89" s="50"/>
      <c r="Q89" s="50"/>
      <c r="R89" s="50"/>
      <c r="S89" s="50"/>
      <c r="T89" s="50"/>
      <c r="U89" s="50"/>
      <c r="V89" s="50"/>
      <c r="W89" s="50"/>
    </row>
    <row r="90" spans="1:23">
      <c r="A90" s="149"/>
      <c r="B90" s="49"/>
      <c r="C90" s="145"/>
      <c r="D90" s="76"/>
      <c r="E90" s="81"/>
      <c r="F90" s="81"/>
      <c r="G90" s="81"/>
      <c r="H90" s="81"/>
      <c r="I90" s="81"/>
      <c r="J90" s="81" t="s">
        <v>599</v>
      </c>
      <c r="K90" s="81"/>
      <c r="L90" s="81"/>
      <c r="M90" s="81"/>
      <c r="N90" s="50"/>
      <c r="O90" s="50"/>
      <c r="P90" s="50"/>
      <c r="Q90" s="50"/>
      <c r="R90" s="50"/>
      <c r="S90" s="50"/>
      <c r="T90" s="50"/>
      <c r="U90" s="50"/>
      <c r="V90" s="50"/>
      <c r="W90" s="50"/>
    </row>
    <row r="91" spans="1:23">
      <c r="A91" s="149"/>
      <c r="B91" s="49"/>
      <c r="C91" s="145"/>
      <c r="D91" s="76"/>
      <c r="E91" s="76"/>
      <c r="F91" s="76"/>
      <c r="G91" s="76"/>
      <c r="H91" s="76"/>
      <c r="I91" s="76"/>
      <c r="J91" s="76"/>
      <c r="K91" s="76"/>
      <c r="L91" s="76"/>
      <c r="M91" s="76"/>
      <c r="N91" s="50"/>
      <c r="O91" s="50"/>
      <c r="P91" s="50"/>
      <c r="Q91" s="50"/>
      <c r="R91" s="50"/>
      <c r="S91" s="50"/>
      <c r="T91" s="50"/>
      <c r="U91" s="50"/>
      <c r="V91" s="50"/>
      <c r="W91" s="50"/>
    </row>
    <row r="92" spans="1:23">
      <c r="A92" s="127"/>
      <c r="B92" s="49"/>
      <c r="D92" s="50"/>
      <c r="E92" s="50"/>
      <c r="F92" s="86"/>
      <c r="G92" s="86"/>
      <c r="H92" s="86"/>
      <c r="I92" s="86"/>
      <c r="J92" s="86"/>
      <c r="K92" s="86"/>
      <c r="L92" s="86"/>
      <c r="M92" s="50"/>
      <c r="N92" s="50"/>
      <c r="O92" s="50"/>
      <c r="P92" s="50"/>
      <c r="Q92" s="50"/>
      <c r="R92" s="50"/>
      <c r="S92" s="50"/>
      <c r="T92" s="50"/>
      <c r="U92" s="50"/>
      <c r="V92" s="50"/>
      <c r="W92" s="50"/>
    </row>
    <row r="93" spans="1:23">
      <c r="A93" s="133"/>
      <c r="B93" s="49"/>
      <c r="D93" s="50"/>
      <c r="E93" s="50"/>
      <c r="F93" s="86"/>
      <c r="G93" s="86"/>
      <c r="H93" s="86"/>
      <c r="I93" s="86"/>
      <c r="J93" s="86"/>
      <c r="K93" s="86"/>
      <c r="L93" s="86"/>
      <c r="M93" s="50"/>
      <c r="N93" s="50"/>
      <c r="O93" s="50"/>
      <c r="P93" s="50"/>
      <c r="Q93" s="50"/>
      <c r="R93" s="50"/>
      <c r="S93" s="50"/>
      <c r="T93" s="50"/>
      <c r="U93" s="50"/>
      <c r="V93" s="50"/>
      <c r="W93" s="50"/>
    </row>
    <row r="94" spans="1:23">
      <c r="B94" s="49"/>
      <c r="D94" s="50"/>
      <c r="E94" s="50"/>
      <c r="F94" s="86"/>
      <c r="G94" s="86"/>
      <c r="H94" s="86"/>
      <c r="I94" s="86"/>
      <c r="J94" s="86"/>
      <c r="K94" s="86"/>
      <c r="L94" s="86"/>
      <c r="M94" s="50"/>
      <c r="N94" s="50"/>
      <c r="O94" s="50"/>
      <c r="P94" s="50"/>
      <c r="Q94" s="50"/>
      <c r="R94" s="50"/>
      <c r="S94" s="50"/>
      <c r="T94" s="50"/>
      <c r="U94" s="50"/>
      <c r="V94" s="50"/>
      <c r="W94" s="50"/>
    </row>
    <row r="95" spans="1:23">
      <c r="B95" s="49"/>
      <c r="D95" s="50"/>
      <c r="E95" s="50"/>
      <c r="F95" s="86"/>
      <c r="G95" s="86"/>
      <c r="H95" s="86"/>
      <c r="I95" s="86"/>
      <c r="J95" s="86"/>
      <c r="K95" s="86"/>
      <c r="L95" s="86"/>
      <c r="M95" s="50"/>
      <c r="N95" s="50"/>
      <c r="O95" s="50"/>
      <c r="P95" s="50"/>
      <c r="Q95" s="50"/>
      <c r="R95" s="50"/>
      <c r="S95" s="50"/>
      <c r="T95" s="50"/>
      <c r="U95" s="50"/>
      <c r="V95" s="50"/>
      <c r="W95" s="50"/>
    </row>
    <row r="96" spans="1:23">
      <c r="B96" s="49"/>
      <c r="D96" s="50"/>
      <c r="E96" s="50"/>
      <c r="F96" s="86"/>
      <c r="G96" s="86"/>
      <c r="H96" s="86"/>
      <c r="I96" s="86"/>
      <c r="J96" s="86"/>
      <c r="K96" s="86"/>
      <c r="L96" s="86"/>
      <c r="M96" s="50"/>
      <c r="N96" s="50"/>
      <c r="O96" s="50"/>
      <c r="P96" s="50"/>
      <c r="Q96" s="50"/>
      <c r="R96" s="50"/>
      <c r="S96" s="50"/>
      <c r="T96" s="50"/>
      <c r="U96" s="50"/>
      <c r="V96" s="50"/>
      <c r="W96" s="50"/>
    </row>
    <row r="97" spans="1:23">
      <c r="B97" s="49"/>
      <c r="D97" s="50"/>
      <c r="E97" s="50"/>
      <c r="F97" s="50"/>
      <c r="G97" s="50"/>
      <c r="H97" s="50"/>
      <c r="I97" s="50"/>
      <c r="J97" s="50"/>
      <c r="K97" s="50"/>
      <c r="L97" s="50"/>
      <c r="M97" s="50"/>
      <c r="N97" s="50"/>
      <c r="O97" s="50"/>
      <c r="P97" s="50"/>
      <c r="Q97" s="50"/>
      <c r="R97" s="50"/>
      <c r="S97" s="50"/>
      <c r="T97" s="50"/>
      <c r="U97" s="50"/>
      <c r="V97" s="50"/>
      <c r="W97" s="50"/>
    </row>
    <row r="98" spans="1:23">
      <c r="B98" s="49"/>
      <c r="D98" s="50"/>
      <c r="E98" s="50"/>
      <c r="F98" s="50"/>
      <c r="G98" s="50"/>
      <c r="H98" s="50"/>
      <c r="I98" s="50"/>
      <c r="J98" s="50"/>
      <c r="K98" s="50"/>
      <c r="L98" s="50"/>
      <c r="M98" s="50"/>
      <c r="N98" s="50"/>
      <c r="O98" s="50"/>
      <c r="P98" s="50"/>
      <c r="Q98" s="50"/>
      <c r="R98" s="50"/>
      <c r="S98" s="50"/>
      <c r="T98" s="50"/>
      <c r="U98" s="50"/>
      <c r="V98" s="50"/>
      <c r="W98" s="50"/>
    </row>
    <row r="99" spans="1:23">
      <c r="B99" s="49"/>
      <c r="D99" s="50"/>
      <c r="E99" s="50"/>
      <c r="F99" s="50"/>
      <c r="G99" s="50"/>
      <c r="H99" s="50"/>
      <c r="I99" s="50"/>
      <c r="J99" s="50"/>
      <c r="K99" s="50"/>
      <c r="L99" s="50"/>
      <c r="M99" s="50"/>
      <c r="N99" s="50"/>
      <c r="O99" s="50"/>
      <c r="P99" s="50"/>
      <c r="Q99" s="50"/>
      <c r="R99" s="50"/>
      <c r="S99" s="50"/>
      <c r="T99" s="50"/>
      <c r="U99" s="50"/>
      <c r="V99" s="50"/>
      <c r="W99" s="50"/>
    </row>
    <row r="100" spans="1:23">
      <c r="B100" s="49"/>
    </row>
    <row r="101" spans="1:23">
      <c r="B101" s="49"/>
    </row>
    <row r="102" spans="1:23">
      <c r="B102" s="49"/>
    </row>
    <row r="103" spans="1:23">
      <c r="B103" s="49"/>
    </row>
    <row r="104" spans="1:23">
      <c r="B104" s="49"/>
    </row>
    <row r="105" spans="1:23">
      <c r="B105" s="49"/>
    </row>
    <row r="106" spans="1:23">
      <c r="B106" s="49"/>
    </row>
    <row r="107" spans="1:23">
      <c r="B107" s="49"/>
    </row>
    <row r="108" spans="1:23">
      <c r="B108" s="49"/>
    </row>
    <row r="109" spans="1:23">
      <c r="A109" s="129"/>
      <c r="B109" s="49"/>
      <c r="C109" s="159"/>
      <c r="D109" s="118"/>
      <c r="E109" s="118"/>
    </row>
    <row r="110" spans="1:23">
      <c r="A110" s="172"/>
      <c r="B110" s="49"/>
      <c r="C110" s="159"/>
      <c r="D110" s="118"/>
    </row>
    <row r="111" spans="1:23">
      <c r="A111" s="172"/>
      <c r="B111" s="49"/>
      <c r="C111" s="159"/>
      <c r="D111" s="118"/>
    </row>
    <row r="112" spans="1:23">
      <c r="A112" s="172"/>
      <c r="B112" s="49"/>
      <c r="C112" s="159"/>
      <c r="D112" s="118"/>
    </row>
    <row r="113" spans="1:6">
      <c r="A113" s="185"/>
      <c r="B113" s="49"/>
      <c r="C113" s="159"/>
      <c r="D113" s="118"/>
    </row>
    <row r="114" spans="1:6">
      <c r="A114" s="126"/>
      <c r="B114" s="49"/>
      <c r="C114" s="159"/>
      <c r="D114" s="118"/>
    </row>
    <row r="115" spans="1:6">
      <c r="A115" s="126"/>
      <c r="B115" s="49"/>
      <c r="C115" s="159"/>
      <c r="D115" s="118"/>
      <c r="E115" s="126"/>
      <c r="F115" s="126"/>
    </row>
    <row r="116" spans="1:6">
      <c r="A116" s="129"/>
      <c r="B116" s="49"/>
      <c r="C116" s="159"/>
      <c r="D116" s="118"/>
      <c r="E116" s="118"/>
    </row>
    <row r="117" spans="1:6">
      <c r="B117" s="49"/>
    </row>
    <row r="118" spans="1:6">
      <c r="B118" s="49"/>
    </row>
    <row r="119" spans="1:6">
      <c r="B119" s="49"/>
    </row>
    <row r="120" spans="1:6">
      <c r="B120" s="49"/>
    </row>
    <row r="121" spans="1:6">
      <c r="B121" s="49"/>
    </row>
    <row r="122" spans="1:6">
      <c r="B122" s="49"/>
    </row>
    <row r="123" spans="1:6">
      <c r="B123" s="49"/>
    </row>
    <row r="124" spans="1:6">
      <c r="B124" s="49"/>
    </row>
    <row r="126" spans="1:6">
      <c r="A126" s="127"/>
    </row>
  </sheetData>
  <dataValidations count="12">
    <dataValidation type="list" allowBlank="1" showInputMessage="1" showErrorMessage="1" sqref="D27" xr:uid="{00000000-0002-0000-0100-000000000000}">
      <formula1>"Snapshot File,Export to Delimited Text File,Save Data,Save Data in Batches,File Collect,Batch,Alerts,Print"</formula1>
    </dataValidation>
    <dataValidation type="list" allowBlank="1" showInputMessage="1" showErrorMessage="1" sqref="D45" xr:uid="{00000000-0002-0000-0100-000001000000}">
      <formula1>".csv,.txt (space delimited),.txt (period delimited),.txt (pipe delimited),.txt (tab delimited),.txt (tab delimited),.txt (semicolon delimited),.txt (colon delimited)"</formula1>
    </dataValidation>
    <dataValidation type="list" allowBlank="1" showInputMessage="1" showErrorMessage="1" sqref="D42" xr:uid="{00000000-0002-0000-0100-000002000000}">
      <formula1>"Convert Axiom Formulas Only,Convert All Formulas"</formula1>
    </dataValidation>
    <dataValidation type="list" allowBlank="1" showInputMessage="1" showErrorMessage="1" sqref="D41" xr:uid="{00000000-0002-0000-0100-000003000000}">
      <formula1>".xlsx,.xlsm,.xls,.pdf"</formula1>
    </dataValidation>
    <dataValidation type="list" allowBlank="1" showInputMessage="1" showErrorMessage="1" sqref="D26 D28 D46 D56" xr:uid="{00000000-0002-0000-0100-000004000000}">
      <formula1>"Off,On"</formula1>
    </dataValidation>
    <dataValidation type="list" allowBlank="1" showInputMessage="1" showErrorMessage="1" sqref="D55" xr:uid="{00000000-0002-0000-0100-000005000000}">
      <formula1>"Create a Single Output File,Create an Output File for Each Pass"</formula1>
    </dataValidation>
    <dataValidation type="list" allowBlank="1" showInputMessage="1" showErrorMessage="1" sqref="D54" xr:uid="{00000000-0002-0000-0100-000006000000}">
      <formula1>"Save Files,Email Files,Save and Email Files"</formula1>
    </dataValidation>
    <dataValidation type="list" allowBlank="1" showInputMessage="1" showErrorMessage="1" sqref="D72" xr:uid="{00000000-0002-0000-0100-000007000000}">
      <formula1>"System,Current User"</formula1>
    </dataValidation>
    <dataValidation type="list" allowBlank="1" showInputMessage="1" showErrorMessage="1" sqref="D59" xr:uid="{00000000-0002-0000-0100-000008000000}">
      <formula1>"Save Data After Each Pass,Save Data at End of Processing,Save Results to Output Sheet"</formula1>
    </dataValidation>
    <dataValidation type="list" allowBlank="1" showInputMessage="1" showErrorMessage="1" sqref="D50" xr:uid="{00000000-0002-0000-0100-000009000000}">
      <formula1>"Local File System,Axiom Repository"</formula1>
    </dataValidation>
    <dataValidation type="list" allowBlank="1" showInputMessage="1" showErrorMessage="1" sqref="F38 H38 J38 L38 N38 P38 R38" xr:uid="{00000000-0002-0000-0100-00000A000000}">
      <formula1>$D$5:$D$5</formula1>
    </dataValidation>
    <dataValidation type="list" allowBlank="1" showInputMessage="1" showErrorMessage="1" sqref="D60" xr:uid="{00000000-0002-0000-0100-00000B000000}">
      <formula1>"Yes,No"</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Q481"/>
  <sheetViews>
    <sheetView showGridLines="0" showRowColHeaders="0" topLeftCell="C1" workbookViewId="0">
      <pane xSplit="3" ySplit="5" topLeftCell="I6" activePane="bottomRight" state="frozen"/>
      <selection activeCell="C1" sqref="C1"/>
      <selection pane="topRight" activeCell="F1" sqref="F1"/>
      <selection pane="bottomLeft" activeCell="C6" sqref="C6"/>
      <selection pane="bottomRight" activeCell="J8" sqref="J8"/>
    </sheetView>
  </sheetViews>
  <sheetFormatPr defaultColWidth="8" defaultRowHeight="16.8" outlineLevelRow="2"/>
  <cols>
    <col min="1" max="1" width="30.19921875" style="219" hidden="1" customWidth="1"/>
    <col min="2" max="2" width="11.19921875" style="220" hidden="1" customWidth="1"/>
    <col min="3" max="3" width="39.09765625" style="220" customWidth="1"/>
    <col min="4" max="4" width="22" style="220" customWidth="1"/>
    <col min="5" max="5" width="0.8984375" style="53" customWidth="1"/>
    <col min="6" max="6" width="24" style="220" bestFit="1" customWidth="1"/>
    <col min="7" max="7" width="0.8984375" style="53" customWidth="1"/>
    <col min="8" max="8" width="24" style="220" customWidth="1"/>
    <col min="9" max="9" width="0.8984375" style="53" customWidth="1"/>
    <col min="10" max="10" width="24" style="220" customWidth="1"/>
    <col min="11" max="11" width="0.8984375" style="220" customWidth="1"/>
    <col min="12" max="12" width="19.19921875" style="220" customWidth="1"/>
    <col min="13" max="13" width="0.8984375" style="220" customWidth="1"/>
    <col min="14" max="14" width="19.3984375" style="220" bestFit="1" customWidth="1"/>
    <col min="15" max="15" width="0.8984375" style="220" customWidth="1"/>
    <col min="16" max="16" width="19.3984375" style="220" bestFit="1" customWidth="1"/>
    <col min="17" max="17" width="8" style="220" customWidth="1"/>
    <col min="18" max="16384" width="8" style="220"/>
  </cols>
  <sheetData>
    <row r="1" spans="1:16" s="214" customFormat="1">
      <c r="A1" s="213"/>
      <c r="C1" s="215"/>
      <c r="D1" s="216" t="s">
        <v>208</v>
      </c>
      <c r="E1" s="102" t="s">
        <v>115</v>
      </c>
      <c r="F1" s="4" t="s">
        <v>322</v>
      </c>
      <c r="G1" s="102" t="s">
        <v>115</v>
      </c>
      <c r="H1" s="4" t="s">
        <v>528</v>
      </c>
      <c r="I1" s="102" t="s">
        <v>115</v>
      </c>
      <c r="J1" s="4" t="s">
        <v>734</v>
      </c>
      <c r="K1" s="216" t="s">
        <v>115</v>
      </c>
      <c r="L1" s="217" t="s">
        <v>69</v>
      </c>
      <c r="N1" s="217" t="s">
        <v>561</v>
      </c>
      <c r="O1" s="218"/>
      <c r="P1" s="217" t="s">
        <v>319</v>
      </c>
    </row>
    <row r="2" spans="1:16" ht="15" hidden="1" customHeight="1">
      <c r="C2" s="221" t="s">
        <v>482</v>
      </c>
      <c r="E2" s="102"/>
      <c r="F2" s="98" t="s">
        <v>163</v>
      </c>
      <c r="G2" s="102"/>
      <c r="H2" s="98" t="s">
        <v>163</v>
      </c>
      <c r="I2" s="102"/>
      <c r="J2" s="98" t="s">
        <v>163</v>
      </c>
      <c r="K2" s="216"/>
      <c r="L2" s="222" t="s">
        <v>163</v>
      </c>
      <c r="N2" s="222" t="s">
        <v>163</v>
      </c>
      <c r="P2" s="222" t="s">
        <v>163</v>
      </c>
    </row>
    <row r="3" spans="1:16" ht="15" hidden="1" customHeight="1">
      <c r="A3" s="219" t="s">
        <v>0</v>
      </c>
      <c r="C3" s="220" t="s">
        <v>248</v>
      </c>
      <c r="E3" s="102"/>
      <c r="F3" s="98"/>
      <c r="G3" s="102"/>
      <c r="H3" s="98"/>
      <c r="I3" s="102"/>
      <c r="J3" s="98"/>
      <c r="K3" s="216"/>
      <c r="L3" s="222"/>
    </row>
    <row r="4" spans="1:16" ht="15" hidden="1" customHeight="1">
      <c r="A4" s="219" t="s">
        <v>164</v>
      </c>
      <c r="C4" s="220" t="s">
        <v>483</v>
      </c>
      <c r="E4" s="102"/>
      <c r="F4" s="53"/>
      <c r="G4" s="102"/>
      <c r="H4" s="53"/>
      <c r="I4" s="102"/>
      <c r="J4" s="53"/>
      <c r="K4" s="216"/>
    </row>
    <row r="5" spans="1:16" ht="15" hidden="1" customHeight="1">
      <c r="A5" s="219" t="s">
        <v>245</v>
      </c>
      <c r="C5" s="220" t="s">
        <v>442</v>
      </c>
      <c r="D5" s="220">
        <v>141</v>
      </c>
      <c r="E5" s="102"/>
      <c r="F5" s="53"/>
      <c r="G5" s="102"/>
      <c r="H5" s="53"/>
      <c r="I5" s="102"/>
      <c r="J5" s="53"/>
      <c r="K5" s="216"/>
    </row>
    <row r="6" spans="1:16">
      <c r="F6" s="100" t="s">
        <v>40</v>
      </c>
      <c r="H6" s="100" t="s">
        <v>40</v>
      </c>
      <c r="J6" s="100" t="s">
        <v>40</v>
      </c>
      <c r="L6" s="223" t="s">
        <v>40</v>
      </c>
      <c r="M6" s="224"/>
      <c r="N6" s="223" t="s">
        <v>40</v>
      </c>
      <c r="O6" s="224"/>
      <c r="P6" s="223" t="s">
        <v>40</v>
      </c>
    </row>
    <row r="7" spans="1:16">
      <c r="C7" s="221" t="s">
        <v>249</v>
      </c>
      <c r="D7" s="225"/>
      <c r="E7" s="33"/>
      <c r="F7" s="33"/>
      <c r="G7" s="33"/>
      <c r="H7" s="33"/>
      <c r="I7" s="33"/>
      <c r="J7" s="33"/>
      <c r="K7" s="226"/>
      <c r="L7" s="226"/>
      <c r="M7" s="224"/>
      <c r="N7" s="226"/>
      <c r="O7" s="224"/>
      <c r="P7" s="226"/>
    </row>
    <row r="8" spans="1:16" outlineLevel="1">
      <c r="A8" s="219" t="s">
        <v>1</v>
      </c>
      <c r="C8" s="220" t="s">
        <v>209</v>
      </c>
      <c r="D8" s="227"/>
      <c r="E8" s="33"/>
      <c r="F8" s="83" t="s">
        <v>484</v>
      </c>
      <c r="G8" s="33"/>
      <c r="H8" s="83" t="s">
        <v>484</v>
      </c>
      <c r="I8" s="33"/>
      <c r="J8" s="83" t="s">
        <v>484</v>
      </c>
      <c r="K8" s="226"/>
      <c r="L8" s="455" t="s">
        <v>292</v>
      </c>
      <c r="N8" s="228" t="s">
        <v>484</v>
      </c>
      <c r="P8" s="228" t="s">
        <v>484</v>
      </c>
    </row>
    <row r="9" spans="1:16" outlineLevel="1">
      <c r="A9" s="219" t="s">
        <v>327</v>
      </c>
      <c r="C9" s="229" t="s">
        <v>210</v>
      </c>
      <c r="D9" s="230"/>
      <c r="E9" s="33"/>
      <c r="F9" s="83" t="s">
        <v>484</v>
      </c>
      <c r="G9" s="33"/>
      <c r="H9" s="83" t="s">
        <v>484</v>
      </c>
      <c r="I9" s="33"/>
      <c r="J9" s="83" t="s">
        <v>484</v>
      </c>
      <c r="K9" s="226"/>
      <c r="L9" s="455" t="s">
        <v>292</v>
      </c>
      <c r="N9" s="228" t="s">
        <v>484</v>
      </c>
      <c r="P9" s="228" t="s">
        <v>484</v>
      </c>
    </row>
    <row r="10" spans="1:16" outlineLevel="1">
      <c r="A10" s="219" t="s">
        <v>533</v>
      </c>
      <c r="C10" s="229" t="s">
        <v>78</v>
      </c>
      <c r="D10" s="230"/>
      <c r="E10" s="33"/>
      <c r="F10" s="83" t="s">
        <v>484</v>
      </c>
      <c r="G10" s="33"/>
      <c r="H10" s="83" t="s">
        <v>484</v>
      </c>
      <c r="I10" s="33"/>
      <c r="J10" s="83" t="s">
        <v>484</v>
      </c>
      <c r="K10" s="226"/>
      <c r="L10" s="455" t="s">
        <v>292</v>
      </c>
      <c r="N10" s="228" t="s">
        <v>484</v>
      </c>
      <c r="P10" s="228" t="s">
        <v>484</v>
      </c>
    </row>
    <row r="11" spans="1:16" outlineLevel="1">
      <c r="A11" s="219" t="s">
        <v>485</v>
      </c>
      <c r="C11" s="229" t="s">
        <v>400</v>
      </c>
      <c r="D11" s="230"/>
      <c r="E11" s="33"/>
      <c r="F11" s="83"/>
      <c r="G11" s="33"/>
      <c r="H11" s="83"/>
      <c r="I11" s="33"/>
      <c r="J11" s="83"/>
      <c r="K11" s="226"/>
      <c r="L11" s="228" t="str">
        <f>Variables!I69</f>
        <v>Mthly_Fcst_Utility_</v>
      </c>
      <c r="N11" s="228"/>
      <c r="P11" s="228"/>
    </row>
    <row r="12" spans="1:16" outlineLevel="1">
      <c r="A12" s="219" t="s">
        <v>613</v>
      </c>
      <c r="C12" s="229" t="s">
        <v>211</v>
      </c>
      <c r="D12" s="230"/>
      <c r="E12" s="33"/>
      <c r="F12" s="83"/>
      <c r="G12" s="33"/>
      <c r="H12" s="83"/>
      <c r="I12" s="33"/>
      <c r="J12" s="83"/>
      <c r="K12" s="226"/>
      <c r="L12" s="228" t="s">
        <v>241</v>
      </c>
      <c r="N12" s="228"/>
      <c r="P12" s="228"/>
    </row>
    <row r="13" spans="1:16" outlineLevel="1">
      <c r="A13" s="219" t="s">
        <v>79</v>
      </c>
      <c r="C13" s="220" t="s">
        <v>288</v>
      </c>
      <c r="D13" s="227"/>
      <c r="E13" s="33"/>
      <c r="F13" s="83" t="s">
        <v>484</v>
      </c>
      <c r="G13" s="33"/>
      <c r="H13" s="83" t="s">
        <v>484</v>
      </c>
      <c r="I13" s="33"/>
      <c r="J13" s="83" t="s">
        <v>484</v>
      </c>
      <c r="K13" s="226"/>
      <c r="L13" s="228" t="s">
        <v>484</v>
      </c>
      <c r="N13" s="228" t="s">
        <v>484</v>
      </c>
      <c r="P13" s="228" t="s">
        <v>484</v>
      </c>
    </row>
    <row r="14" spans="1:16" outlineLevel="1">
      <c r="A14" s="219" t="s">
        <v>41</v>
      </c>
      <c r="C14" s="229" t="s">
        <v>165</v>
      </c>
      <c r="D14" s="230"/>
      <c r="E14" s="33"/>
      <c r="F14" s="83"/>
      <c r="G14" s="33"/>
      <c r="H14" s="83"/>
      <c r="I14" s="33"/>
      <c r="J14" s="141"/>
      <c r="K14" s="226"/>
      <c r="L14" s="228"/>
      <c r="N14" s="228"/>
      <c r="P14" s="228"/>
    </row>
    <row r="15" spans="1:16" outlineLevel="1">
      <c r="A15" s="219" t="s">
        <v>401</v>
      </c>
      <c r="C15" s="229" t="s">
        <v>166</v>
      </c>
      <c r="D15" s="230"/>
      <c r="E15" s="33"/>
      <c r="F15" s="83"/>
      <c r="G15" s="33"/>
      <c r="H15" s="83"/>
      <c r="I15" s="33"/>
      <c r="J15" s="83"/>
      <c r="K15" s="226"/>
      <c r="L15" s="228"/>
      <c r="N15" s="228"/>
      <c r="P15" s="228"/>
    </row>
    <row r="16" spans="1:16" outlineLevel="1">
      <c r="A16" s="219" t="s">
        <v>116</v>
      </c>
      <c r="C16" s="220" t="s">
        <v>328</v>
      </c>
      <c r="D16" s="230"/>
      <c r="E16" s="33"/>
      <c r="F16" s="83" t="s">
        <v>484</v>
      </c>
      <c r="G16" s="33"/>
      <c r="H16" s="83" t="s">
        <v>484</v>
      </c>
      <c r="I16" s="33"/>
      <c r="J16" s="83" t="s">
        <v>484</v>
      </c>
      <c r="K16" s="226"/>
      <c r="L16" s="228" t="s">
        <v>484</v>
      </c>
      <c r="N16" s="228" t="s">
        <v>484</v>
      </c>
      <c r="P16" s="228" t="s">
        <v>484</v>
      </c>
    </row>
    <row r="17" spans="1:11">
      <c r="A17" s="219" t="s">
        <v>2</v>
      </c>
      <c r="C17" s="221" t="s">
        <v>42</v>
      </c>
      <c r="D17" s="225"/>
      <c r="E17" s="33"/>
      <c r="F17" s="53"/>
      <c r="G17" s="33"/>
      <c r="H17" s="53"/>
      <c r="I17" s="33"/>
      <c r="J17" s="53"/>
      <c r="K17" s="226"/>
    </row>
    <row r="18" spans="1:11" outlineLevel="1">
      <c r="A18" s="219" t="s">
        <v>250</v>
      </c>
      <c r="C18" s="220" t="s">
        <v>251</v>
      </c>
      <c r="D18" s="217" t="s">
        <v>292</v>
      </c>
      <c r="E18" s="33"/>
      <c r="F18" s="53"/>
      <c r="G18" s="33"/>
      <c r="H18" s="53"/>
      <c r="I18" s="33"/>
      <c r="J18" s="53"/>
      <c r="K18" s="226"/>
    </row>
    <row r="19" spans="1:11" outlineLevel="1">
      <c r="A19" s="219" t="s">
        <v>289</v>
      </c>
      <c r="C19" s="220" t="s">
        <v>329</v>
      </c>
      <c r="D19" s="217" t="s">
        <v>292</v>
      </c>
      <c r="E19" s="33"/>
      <c r="F19" s="53"/>
      <c r="G19" s="33"/>
      <c r="H19" s="53"/>
      <c r="I19" s="33"/>
      <c r="J19" s="53"/>
      <c r="K19" s="226"/>
    </row>
    <row r="20" spans="1:11" outlineLevel="1">
      <c r="A20" s="219" t="s">
        <v>290</v>
      </c>
      <c r="C20" s="220" t="s">
        <v>402</v>
      </c>
      <c r="D20" s="217" t="s">
        <v>484</v>
      </c>
      <c r="E20" s="33"/>
      <c r="F20" s="53"/>
      <c r="G20" s="33"/>
      <c r="H20" s="53"/>
      <c r="I20" s="33"/>
      <c r="J20" s="53"/>
      <c r="K20" s="226"/>
    </row>
    <row r="21" spans="1:11" outlineLevel="1">
      <c r="A21" s="219" t="s">
        <v>643</v>
      </c>
      <c r="C21" s="220" t="s">
        <v>390</v>
      </c>
      <c r="D21" s="217" t="s">
        <v>292</v>
      </c>
      <c r="E21" s="33"/>
      <c r="F21" s="53"/>
      <c r="G21" s="33"/>
      <c r="H21" s="53"/>
      <c r="I21" s="33"/>
      <c r="J21" s="53"/>
      <c r="K21" s="226"/>
    </row>
    <row r="22" spans="1:11" outlineLevel="1">
      <c r="A22" s="219" t="s">
        <v>117</v>
      </c>
      <c r="C22" s="220" t="s">
        <v>366</v>
      </c>
      <c r="D22" s="217" t="s">
        <v>484</v>
      </c>
      <c r="E22" s="33"/>
      <c r="F22" s="53"/>
      <c r="G22" s="33"/>
      <c r="H22" s="53"/>
      <c r="I22" s="33"/>
      <c r="J22" s="53"/>
      <c r="K22" s="226"/>
    </row>
    <row r="23" spans="1:11" outlineLevel="1">
      <c r="A23" s="219" t="s">
        <v>534</v>
      </c>
      <c r="C23" s="220" t="s">
        <v>614</v>
      </c>
      <c r="D23" s="217" t="s">
        <v>484</v>
      </c>
      <c r="E23" s="33"/>
      <c r="F23" s="53"/>
      <c r="G23" s="33"/>
      <c r="H23" s="53"/>
      <c r="I23" s="33"/>
      <c r="J23" s="53"/>
      <c r="K23" s="226"/>
    </row>
    <row r="24" spans="1:11" outlineLevel="1">
      <c r="A24" s="219" t="s">
        <v>655</v>
      </c>
      <c r="C24" s="220" t="s">
        <v>656</v>
      </c>
      <c r="D24" s="217" t="s">
        <v>484</v>
      </c>
      <c r="E24" s="33"/>
      <c r="F24" s="53"/>
      <c r="G24" s="33"/>
      <c r="H24" s="53"/>
      <c r="I24" s="33"/>
      <c r="J24" s="53"/>
      <c r="K24" s="226"/>
    </row>
    <row r="25" spans="1:11" outlineLevel="1">
      <c r="A25" s="219" t="s">
        <v>657</v>
      </c>
      <c r="C25" s="220" t="s">
        <v>658</v>
      </c>
      <c r="D25" s="217" t="s">
        <v>292</v>
      </c>
      <c r="E25" s="33"/>
      <c r="F25" s="53"/>
      <c r="G25" s="33"/>
      <c r="H25" s="53"/>
      <c r="I25" s="33"/>
      <c r="J25" s="53"/>
      <c r="K25" s="226"/>
    </row>
    <row r="26" spans="1:11" outlineLevel="1">
      <c r="A26" s="219" t="s">
        <v>212</v>
      </c>
      <c r="C26" s="220" t="s">
        <v>486</v>
      </c>
      <c r="D26" s="217"/>
      <c r="E26" s="33"/>
      <c r="F26" s="53"/>
      <c r="G26" s="33"/>
      <c r="H26" s="53"/>
      <c r="I26" s="33"/>
      <c r="J26" s="53"/>
      <c r="K26" s="226"/>
    </row>
    <row r="27" spans="1:11" outlineLevel="1">
      <c r="A27" s="219" t="s">
        <v>608</v>
      </c>
      <c r="C27" s="220" t="s">
        <v>281</v>
      </c>
      <c r="D27" s="217" t="s">
        <v>69</v>
      </c>
      <c r="E27" s="33"/>
      <c r="F27" s="53"/>
      <c r="G27" s="33"/>
      <c r="H27" s="53"/>
      <c r="I27" s="33"/>
      <c r="J27" s="53"/>
      <c r="K27" s="226"/>
    </row>
    <row r="28" spans="1:11" outlineLevel="1">
      <c r="A28" s="219" t="s">
        <v>609</v>
      </c>
      <c r="C28" s="220" t="s">
        <v>34</v>
      </c>
      <c r="D28" s="217" t="s">
        <v>292</v>
      </c>
      <c r="E28" s="33"/>
      <c r="F28" s="53"/>
      <c r="G28" s="33"/>
      <c r="H28" s="53"/>
      <c r="I28" s="33"/>
      <c r="J28" s="53"/>
      <c r="K28" s="226"/>
    </row>
    <row r="29" spans="1:11" outlineLevel="1">
      <c r="A29" s="219" t="s">
        <v>477</v>
      </c>
      <c r="C29" s="220" t="s">
        <v>610</v>
      </c>
      <c r="D29" s="217"/>
      <c r="E29" s="33"/>
      <c r="F29" s="53"/>
      <c r="G29" s="33"/>
      <c r="H29" s="53"/>
      <c r="I29" s="33"/>
      <c r="J29" s="53"/>
      <c r="K29" s="226"/>
    </row>
    <row r="30" spans="1:11" outlineLevel="1">
      <c r="A30" s="219" t="s">
        <v>479</v>
      </c>
      <c r="C30" s="220" t="s">
        <v>325</v>
      </c>
      <c r="D30" s="217" t="s">
        <v>484</v>
      </c>
      <c r="E30" s="33"/>
      <c r="F30" s="53"/>
      <c r="G30" s="33"/>
      <c r="H30" s="53"/>
      <c r="I30" s="33"/>
      <c r="J30" s="53"/>
      <c r="K30" s="226"/>
    </row>
    <row r="31" spans="1:11" outlineLevel="1">
      <c r="A31" s="219" t="s">
        <v>205</v>
      </c>
      <c r="C31" s="220" t="s">
        <v>35</v>
      </c>
      <c r="D31" s="217"/>
      <c r="E31" s="33"/>
      <c r="F31" s="53"/>
      <c r="G31" s="33"/>
      <c r="H31" s="53"/>
      <c r="I31" s="33"/>
      <c r="J31" s="53"/>
      <c r="K31" s="226"/>
    </row>
    <row r="32" spans="1:11" outlineLevel="1">
      <c r="A32" s="219" t="s">
        <v>395</v>
      </c>
      <c r="C32" s="220" t="s">
        <v>77</v>
      </c>
      <c r="D32" s="217"/>
      <c r="E32" s="33"/>
      <c r="F32" s="53"/>
      <c r="G32" s="33"/>
      <c r="H32" s="53"/>
      <c r="I32" s="33"/>
      <c r="J32" s="53"/>
      <c r="K32" s="226"/>
    </row>
    <row r="33" spans="1:16" outlineLevel="1">
      <c r="A33" s="219" t="s">
        <v>649</v>
      </c>
      <c r="C33" s="220" t="s">
        <v>36</v>
      </c>
      <c r="D33" s="217"/>
      <c r="E33" s="33"/>
      <c r="F33" s="53"/>
      <c r="G33" s="33"/>
      <c r="H33" s="53"/>
      <c r="I33" s="33"/>
      <c r="J33" s="53"/>
      <c r="K33" s="226"/>
    </row>
    <row r="34" spans="1:16" outlineLevel="1">
      <c r="A34" s="219" t="s">
        <v>440</v>
      </c>
      <c r="C34" s="220" t="s">
        <v>650</v>
      </c>
      <c r="D34" s="217" t="s">
        <v>292</v>
      </c>
      <c r="E34" s="33"/>
      <c r="F34" s="53"/>
      <c r="G34" s="33"/>
      <c r="H34" s="53"/>
      <c r="I34" s="33"/>
      <c r="J34" s="53"/>
      <c r="K34" s="226"/>
    </row>
    <row r="35" spans="1:16" outlineLevel="1">
      <c r="A35" s="219" t="s">
        <v>247</v>
      </c>
      <c r="C35" s="220" t="s">
        <v>207</v>
      </c>
      <c r="D35" s="217"/>
      <c r="E35" s="33"/>
      <c r="F35" s="53"/>
      <c r="G35" s="33"/>
      <c r="H35" s="53"/>
      <c r="I35" s="33"/>
      <c r="J35" s="53"/>
      <c r="K35" s="226"/>
    </row>
    <row r="36" spans="1:16" outlineLevel="1">
      <c r="A36" s="219" t="s">
        <v>566</v>
      </c>
      <c r="C36" s="220" t="s">
        <v>285</v>
      </c>
      <c r="D36" s="217"/>
      <c r="E36" s="33"/>
      <c r="F36" s="53"/>
      <c r="G36" s="33"/>
      <c r="H36" s="53"/>
      <c r="I36" s="33"/>
      <c r="J36" s="53"/>
      <c r="K36" s="226"/>
    </row>
    <row r="37" spans="1:16" outlineLevel="1">
      <c r="A37" s="219" t="s">
        <v>567</v>
      </c>
      <c r="C37" s="220" t="s">
        <v>286</v>
      </c>
      <c r="D37" s="217"/>
      <c r="E37" s="33"/>
      <c r="F37" s="53"/>
      <c r="G37" s="33"/>
      <c r="H37" s="53"/>
      <c r="I37" s="33"/>
      <c r="J37" s="53"/>
      <c r="K37" s="226"/>
    </row>
    <row r="38" spans="1:16">
      <c r="A38" s="219" t="s">
        <v>2</v>
      </c>
      <c r="C38" s="221" t="s">
        <v>487</v>
      </c>
      <c r="D38" s="225"/>
      <c r="E38" s="33"/>
      <c r="F38" s="53"/>
      <c r="G38" s="33"/>
      <c r="H38" s="53"/>
      <c r="I38" s="33"/>
      <c r="J38" s="53"/>
      <c r="K38" s="226"/>
    </row>
    <row r="39" spans="1:16" outlineLevel="1">
      <c r="A39" s="219" t="s">
        <v>403</v>
      </c>
      <c r="C39" s="220" t="s">
        <v>252</v>
      </c>
      <c r="D39" s="227"/>
      <c r="E39" s="33"/>
      <c r="F39" s="4" t="s">
        <v>438</v>
      </c>
      <c r="G39" s="33"/>
      <c r="H39" s="4" t="s">
        <v>438</v>
      </c>
      <c r="I39" s="33"/>
      <c r="J39" s="4" t="s">
        <v>438</v>
      </c>
      <c r="K39" s="226"/>
      <c r="L39" s="217" t="s">
        <v>488</v>
      </c>
      <c r="N39" s="217" t="s">
        <v>438</v>
      </c>
      <c r="P39" s="217" t="s">
        <v>438</v>
      </c>
    </row>
    <row r="40" spans="1:16" outlineLevel="1">
      <c r="A40" s="219" t="s">
        <v>443</v>
      </c>
      <c r="C40" s="220" t="s">
        <v>118</v>
      </c>
      <c r="D40" s="227"/>
      <c r="E40" s="33"/>
      <c r="F40" s="4" t="s">
        <v>484</v>
      </c>
      <c r="G40" s="33"/>
      <c r="H40" s="4" t="s">
        <v>484</v>
      </c>
      <c r="I40" s="33"/>
      <c r="J40" s="4" t="s">
        <v>484</v>
      </c>
      <c r="K40" s="226"/>
      <c r="L40" s="217" t="s">
        <v>292</v>
      </c>
      <c r="N40" s="217" t="s">
        <v>484</v>
      </c>
      <c r="P40" s="217" t="s">
        <v>484</v>
      </c>
    </row>
    <row r="41" spans="1:16" outlineLevel="1">
      <c r="A41" s="219" t="s">
        <v>404</v>
      </c>
      <c r="C41" s="220" t="s">
        <v>489</v>
      </c>
      <c r="D41" s="227"/>
      <c r="E41" s="33"/>
      <c r="F41" s="11" t="str">
        <f>F40</f>
        <v>Off</v>
      </c>
      <c r="G41" s="33"/>
      <c r="H41" s="11" t="str">
        <f>H40</f>
        <v>Off</v>
      </c>
      <c r="I41" s="33"/>
      <c r="J41" s="11" t="str">
        <f>J40</f>
        <v>Off</v>
      </c>
      <c r="K41" s="226"/>
      <c r="L41" s="248" t="str">
        <f>L40</f>
        <v>On</v>
      </c>
      <c r="N41" s="248" t="str">
        <f>N40</f>
        <v>Off</v>
      </c>
      <c r="P41" s="248" t="str">
        <f>P40</f>
        <v>Off</v>
      </c>
    </row>
    <row r="42" spans="1:16" outlineLevel="1">
      <c r="A42" s="219" t="s">
        <v>291</v>
      </c>
      <c r="C42" s="220" t="s">
        <v>80</v>
      </c>
      <c r="D42" s="227"/>
      <c r="E42" s="33"/>
      <c r="F42" s="12" t="s">
        <v>2</v>
      </c>
      <c r="G42" s="33"/>
      <c r="H42" s="12" t="s">
        <v>2</v>
      </c>
      <c r="I42" s="33"/>
      <c r="J42" s="12" t="s">
        <v>868</v>
      </c>
      <c r="K42" s="226"/>
      <c r="L42" s="231" t="s">
        <v>708</v>
      </c>
      <c r="M42" s="232"/>
      <c r="N42" s="231" t="s">
        <v>114</v>
      </c>
      <c r="O42" s="232"/>
      <c r="P42" s="231" t="s">
        <v>2</v>
      </c>
    </row>
    <row r="43" spans="1:16" outlineLevel="1">
      <c r="A43" s="219" t="s">
        <v>81</v>
      </c>
      <c r="C43" s="220" t="s">
        <v>119</v>
      </c>
      <c r="D43" s="227"/>
      <c r="E43" s="33"/>
      <c r="F43" s="12" t="s">
        <v>2</v>
      </c>
      <c r="G43" s="33"/>
      <c r="H43" s="12" t="s">
        <v>2</v>
      </c>
      <c r="I43" s="33"/>
      <c r="J43" s="12" t="s">
        <v>37</v>
      </c>
      <c r="K43" s="226"/>
      <c r="L43" s="231" t="s">
        <v>113</v>
      </c>
      <c r="M43" s="232"/>
      <c r="N43" s="231" t="s">
        <v>38</v>
      </c>
      <c r="O43" s="232"/>
      <c r="P43" s="231" t="s">
        <v>2</v>
      </c>
    </row>
    <row r="44" spans="1:16" outlineLevel="1">
      <c r="A44" s="219" t="s">
        <v>445</v>
      </c>
      <c r="C44" s="220" t="s">
        <v>446</v>
      </c>
      <c r="D44" s="227"/>
      <c r="E44" s="33"/>
      <c r="F44" s="4" t="s">
        <v>484</v>
      </c>
      <c r="G44" s="33"/>
      <c r="H44" s="4" t="s">
        <v>484</v>
      </c>
      <c r="I44" s="33"/>
      <c r="J44" s="4" t="s">
        <v>484</v>
      </c>
      <c r="K44" s="226"/>
      <c r="L44" s="217" t="s">
        <v>484</v>
      </c>
      <c r="N44" s="217" t="s">
        <v>484</v>
      </c>
      <c r="P44" s="217" t="s">
        <v>484</v>
      </c>
    </row>
    <row r="45" spans="1:16" outlineLevel="1">
      <c r="A45" s="219" t="s">
        <v>396</v>
      </c>
      <c r="C45" s="220" t="s">
        <v>161</v>
      </c>
      <c r="D45" s="227"/>
      <c r="E45" s="33"/>
      <c r="F45" s="4"/>
      <c r="G45" s="33"/>
      <c r="H45" s="4"/>
      <c r="I45" s="33"/>
      <c r="J45" s="4"/>
      <c r="K45" s="226"/>
      <c r="L45" s="217"/>
      <c r="N45" s="217"/>
      <c r="P45" s="217"/>
    </row>
    <row r="46" spans="1:16" outlineLevel="1">
      <c r="A46" s="219" t="s">
        <v>70</v>
      </c>
      <c r="C46" s="220" t="s">
        <v>202</v>
      </c>
      <c r="D46" s="227"/>
      <c r="E46" s="33"/>
      <c r="F46" s="12" t="s">
        <v>2</v>
      </c>
      <c r="G46" s="33"/>
      <c r="H46" s="12" t="s">
        <v>2</v>
      </c>
      <c r="I46" s="33"/>
      <c r="J46" s="12" t="s">
        <v>2</v>
      </c>
      <c r="K46" s="226"/>
      <c r="L46" s="231" t="s">
        <v>2</v>
      </c>
      <c r="M46" s="232"/>
      <c r="N46" s="231" t="s">
        <v>2</v>
      </c>
      <c r="O46" s="232"/>
      <c r="P46" s="231" t="s">
        <v>2</v>
      </c>
    </row>
    <row r="47" spans="1:16" outlineLevel="1">
      <c r="A47" s="219" t="s">
        <v>283</v>
      </c>
      <c r="C47" s="220" t="s">
        <v>398</v>
      </c>
      <c r="D47" s="227"/>
      <c r="E47" s="33"/>
      <c r="F47" s="4"/>
      <c r="G47" s="33"/>
      <c r="H47" s="4"/>
      <c r="I47" s="33"/>
      <c r="J47" s="4"/>
      <c r="K47" s="226"/>
      <c r="L47" s="217"/>
      <c r="N47" s="217"/>
      <c r="P47" s="217"/>
    </row>
    <row r="48" spans="1:16" outlineLevel="1">
      <c r="A48" s="219" t="s">
        <v>441</v>
      </c>
      <c r="C48" s="220" t="s">
        <v>39</v>
      </c>
      <c r="D48" s="227"/>
      <c r="E48" s="33"/>
      <c r="F48" s="12" t="s">
        <v>2</v>
      </c>
      <c r="G48" s="33"/>
      <c r="H48" s="12" t="s">
        <v>2</v>
      </c>
      <c r="I48" s="33"/>
      <c r="J48" s="12" t="s">
        <v>2</v>
      </c>
      <c r="K48" s="226"/>
      <c r="L48" s="231" t="s">
        <v>2</v>
      </c>
      <c r="M48" s="232"/>
      <c r="N48" s="231" t="s">
        <v>2</v>
      </c>
      <c r="O48" s="232"/>
      <c r="P48" s="231" t="s">
        <v>2</v>
      </c>
    </row>
    <row r="49" spans="1:16" outlineLevel="1">
      <c r="C49" s="221" t="s">
        <v>558</v>
      </c>
      <c r="D49" s="227"/>
      <c r="E49" s="33"/>
      <c r="F49" s="53"/>
      <c r="G49" s="33"/>
      <c r="H49" s="53"/>
      <c r="I49" s="33"/>
      <c r="J49" s="53"/>
      <c r="K49" s="226"/>
    </row>
    <row r="50" spans="1:16" outlineLevel="2">
      <c r="A50" s="219" t="s">
        <v>568</v>
      </c>
      <c r="C50" s="233" t="s">
        <v>3</v>
      </c>
      <c r="D50" s="227"/>
      <c r="E50" s="33"/>
      <c r="F50" s="4"/>
      <c r="G50" s="33"/>
      <c r="H50" s="4"/>
      <c r="I50" s="33"/>
      <c r="J50" s="4"/>
      <c r="K50" s="226"/>
      <c r="L50" s="217" t="s">
        <v>369</v>
      </c>
      <c r="N50" s="217"/>
      <c r="P50" s="217"/>
    </row>
    <row r="51" spans="1:16" outlineLevel="2">
      <c r="A51" s="219" t="s">
        <v>436</v>
      </c>
      <c r="C51" s="233" t="s">
        <v>526</v>
      </c>
      <c r="D51" s="227"/>
      <c r="E51" s="33"/>
      <c r="F51" s="4"/>
      <c r="G51" s="33"/>
      <c r="H51" s="4"/>
      <c r="I51" s="33"/>
      <c r="J51" s="4"/>
      <c r="K51" s="226"/>
      <c r="L51" s="217"/>
      <c r="N51" s="217"/>
      <c r="P51" s="217"/>
    </row>
    <row r="52" spans="1:16" outlineLevel="2">
      <c r="A52" s="219" t="s">
        <v>155</v>
      </c>
      <c r="C52" s="233" t="s">
        <v>391</v>
      </c>
      <c r="D52" s="227"/>
      <c r="E52" s="33"/>
      <c r="F52" s="4"/>
      <c r="G52" s="33"/>
      <c r="H52" s="4"/>
      <c r="I52" s="33"/>
      <c r="J52" s="4"/>
      <c r="K52" s="226"/>
      <c r="L52" s="217"/>
      <c r="N52" s="217"/>
      <c r="P52" s="217"/>
    </row>
    <row r="53" spans="1:16" outlineLevel="2">
      <c r="A53" s="219" t="s">
        <v>444</v>
      </c>
      <c r="C53" s="233" t="s">
        <v>405</v>
      </c>
      <c r="D53" s="227"/>
      <c r="E53" s="33"/>
      <c r="F53" s="4"/>
      <c r="G53" s="33"/>
      <c r="H53" s="4"/>
      <c r="I53" s="33"/>
      <c r="J53" s="4"/>
      <c r="K53" s="226"/>
      <c r="L53" s="217" t="s">
        <v>369</v>
      </c>
      <c r="N53" s="217"/>
      <c r="P53" s="217"/>
    </row>
    <row r="54" spans="1:16" outlineLevel="2">
      <c r="A54" s="219" t="s">
        <v>156</v>
      </c>
      <c r="C54" s="233" t="s">
        <v>33</v>
      </c>
      <c r="D54" s="227"/>
      <c r="E54" s="33"/>
      <c r="F54" s="4"/>
      <c r="G54" s="33"/>
      <c r="H54" s="4"/>
      <c r="I54" s="33"/>
      <c r="J54" s="4"/>
      <c r="K54" s="226"/>
      <c r="L54" s="217"/>
      <c r="N54" s="217"/>
      <c r="P54" s="217"/>
    </row>
    <row r="55" spans="1:16" outlineLevel="2">
      <c r="A55" s="219" t="s">
        <v>437</v>
      </c>
      <c r="C55" s="233" t="s">
        <v>157</v>
      </c>
      <c r="D55" s="227"/>
      <c r="E55" s="33"/>
      <c r="F55" s="4"/>
      <c r="G55" s="33"/>
      <c r="H55" s="4"/>
      <c r="I55" s="33"/>
      <c r="J55" s="4"/>
      <c r="K55" s="226"/>
      <c r="L55" s="217"/>
      <c r="N55" s="217"/>
      <c r="P55" s="217"/>
    </row>
    <row r="56" spans="1:16" outlineLevel="2">
      <c r="A56" s="219" t="s">
        <v>321</v>
      </c>
      <c r="C56" s="233" t="s">
        <v>644</v>
      </c>
      <c r="D56" s="227"/>
      <c r="E56" s="33"/>
      <c r="F56" s="4" t="s">
        <v>292</v>
      </c>
      <c r="G56" s="33"/>
      <c r="H56" s="4" t="s">
        <v>292</v>
      </c>
      <c r="I56" s="33"/>
      <c r="J56" s="4" t="s">
        <v>292</v>
      </c>
      <c r="K56" s="226"/>
      <c r="L56" s="217" t="s">
        <v>292</v>
      </c>
      <c r="N56" s="217" t="s">
        <v>292</v>
      </c>
      <c r="P56" s="217" t="s">
        <v>292</v>
      </c>
    </row>
    <row r="57" spans="1:16">
      <c r="C57" s="221" t="s">
        <v>120</v>
      </c>
      <c r="D57" s="227"/>
      <c r="E57" s="33"/>
      <c r="F57" s="54"/>
      <c r="G57" s="33"/>
      <c r="H57" s="54"/>
      <c r="I57" s="33"/>
      <c r="J57" s="54"/>
      <c r="K57" s="226"/>
      <c r="L57" s="233"/>
      <c r="N57" s="233"/>
      <c r="P57" s="233"/>
    </row>
    <row r="58" spans="1:16" outlineLevel="1">
      <c r="A58" s="219" t="s">
        <v>535</v>
      </c>
      <c r="C58" s="220" t="s">
        <v>121</v>
      </c>
      <c r="D58" s="217" t="s">
        <v>292</v>
      </c>
      <c r="E58" s="33"/>
      <c r="F58" s="54"/>
      <c r="G58" s="33"/>
      <c r="H58" s="54"/>
      <c r="I58" s="33"/>
      <c r="J58" s="54"/>
      <c r="K58" s="226"/>
      <c r="L58" s="233"/>
      <c r="N58" s="233"/>
      <c r="P58" s="233"/>
    </row>
    <row r="59" spans="1:16" outlineLevel="1">
      <c r="A59" s="219" t="s">
        <v>569</v>
      </c>
      <c r="C59" s="220" t="s">
        <v>122</v>
      </c>
      <c r="D59" s="217" t="s">
        <v>484</v>
      </c>
      <c r="E59" s="33"/>
      <c r="F59" s="54"/>
      <c r="G59" s="33"/>
      <c r="H59" s="54"/>
      <c r="I59" s="33"/>
      <c r="J59" s="54"/>
      <c r="K59" s="226"/>
      <c r="L59" s="233"/>
      <c r="N59" s="233"/>
      <c r="P59" s="233"/>
    </row>
    <row r="60" spans="1:16" outlineLevel="1">
      <c r="A60" s="219" t="s">
        <v>43</v>
      </c>
      <c r="C60" s="220" t="s">
        <v>4</v>
      </c>
      <c r="D60" s="217" t="s">
        <v>654</v>
      </c>
      <c r="E60" s="33"/>
      <c r="F60" s="54"/>
      <c r="G60" s="33"/>
      <c r="H60" s="54"/>
      <c r="I60" s="33"/>
      <c r="J60" s="54"/>
      <c r="K60" s="226"/>
      <c r="L60" s="233"/>
      <c r="N60" s="233"/>
      <c r="P60" s="233"/>
    </row>
    <row r="61" spans="1:16" outlineLevel="1">
      <c r="A61" s="219" t="s">
        <v>123</v>
      </c>
      <c r="C61" s="220" t="s">
        <v>570</v>
      </c>
      <c r="D61" s="217" t="s">
        <v>292</v>
      </c>
      <c r="E61" s="33"/>
      <c r="F61" s="54"/>
      <c r="G61" s="33"/>
      <c r="H61" s="54"/>
      <c r="I61" s="33"/>
      <c r="J61" s="54"/>
      <c r="K61" s="226"/>
      <c r="L61" s="233"/>
      <c r="N61" s="233"/>
      <c r="P61" s="233"/>
    </row>
    <row r="62" spans="1:16" outlineLevel="1">
      <c r="A62" s="219" t="s">
        <v>213</v>
      </c>
      <c r="C62" s="220" t="s">
        <v>571</v>
      </c>
      <c r="E62" s="33"/>
      <c r="F62" s="4" t="s">
        <v>484</v>
      </c>
      <c r="G62" s="33"/>
      <c r="H62" s="4" t="s">
        <v>484</v>
      </c>
      <c r="I62" s="33"/>
      <c r="J62" s="4" t="s">
        <v>292</v>
      </c>
      <c r="K62" s="226"/>
      <c r="L62" s="217" t="s">
        <v>292</v>
      </c>
      <c r="N62" s="217" t="s">
        <v>484</v>
      </c>
      <c r="P62" s="217" t="s">
        <v>484</v>
      </c>
    </row>
    <row r="63" spans="1:16" outlineLevel="1">
      <c r="A63" s="219" t="s">
        <v>406</v>
      </c>
      <c r="C63" s="220" t="s">
        <v>124</v>
      </c>
      <c r="D63" s="227"/>
      <c r="E63" s="33"/>
      <c r="F63" s="4" t="s">
        <v>484</v>
      </c>
      <c r="G63" s="33"/>
      <c r="H63" s="4" t="s">
        <v>484</v>
      </c>
      <c r="I63" s="33"/>
      <c r="J63" s="4" t="s">
        <v>484</v>
      </c>
      <c r="K63" s="226"/>
      <c r="L63" s="217" t="s">
        <v>484</v>
      </c>
      <c r="N63" s="217" t="s">
        <v>484</v>
      </c>
      <c r="P63" s="217" t="s">
        <v>484</v>
      </c>
    </row>
    <row r="64" spans="1:16">
      <c r="C64" s="221" t="s">
        <v>253</v>
      </c>
      <c r="D64" s="233"/>
      <c r="E64" s="54"/>
      <c r="F64" s="54"/>
      <c r="G64" s="54"/>
      <c r="H64" s="54"/>
      <c r="I64" s="54"/>
      <c r="J64" s="54"/>
      <c r="K64" s="233"/>
      <c r="L64" s="233"/>
      <c r="N64" s="233"/>
      <c r="P64" s="233"/>
    </row>
    <row r="65" spans="1:17" outlineLevel="1">
      <c r="C65" s="221" t="s">
        <v>407</v>
      </c>
      <c r="D65" s="221" t="s">
        <v>254</v>
      </c>
      <c r="E65" s="33"/>
      <c r="F65" s="68" t="s">
        <v>330</v>
      </c>
      <c r="G65" s="33"/>
      <c r="H65" s="68" t="s">
        <v>330</v>
      </c>
      <c r="I65" s="33"/>
      <c r="J65" s="68" t="s">
        <v>330</v>
      </c>
      <c r="K65" s="226"/>
      <c r="L65" s="221" t="s">
        <v>330</v>
      </c>
      <c r="N65" s="221" t="s">
        <v>330</v>
      </c>
      <c r="P65" s="221" t="s">
        <v>330</v>
      </c>
    </row>
    <row r="66" spans="1:17" s="234" customFormat="1" outlineLevel="1">
      <c r="A66" s="219" t="s">
        <v>5</v>
      </c>
      <c r="C66" s="235" t="s">
        <v>197</v>
      </c>
      <c r="D66" s="235" t="s">
        <v>523</v>
      </c>
      <c r="E66" s="105"/>
      <c r="F66" s="37"/>
      <c r="G66" s="105"/>
      <c r="H66" s="37"/>
      <c r="I66" s="105"/>
      <c r="J66" s="37"/>
      <c r="K66" s="236"/>
      <c r="L66" s="237" t="str">
        <f>IF(Variables!$I$30,Variables!I33,Variables!$I$73)</f>
        <v/>
      </c>
      <c r="M66" s="238"/>
      <c r="N66" s="237"/>
      <c r="O66" s="238"/>
      <c r="P66" s="237"/>
    </row>
    <row r="67" spans="1:17" s="234" customFormat="1" outlineLevel="1">
      <c r="A67" s="219" t="s">
        <v>490</v>
      </c>
      <c r="C67" s="235" t="s">
        <v>197</v>
      </c>
      <c r="D67" s="235" t="s">
        <v>523</v>
      </c>
      <c r="E67" s="105"/>
      <c r="F67" s="37"/>
      <c r="G67" s="105"/>
      <c r="H67" s="37"/>
      <c r="I67" s="105"/>
      <c r="J67" s="37"/>
      <c r="K67" s="236"/>
      <c r="L67" s="237" t="str">
        <f>IF(Variables!$I$30,"",Variables!$I$74)</f>
        <v/>
      </c>
      <c r="M67" s="238"/>
      <c r="N67" s="237"/>
      <c r="O67" s="238"/>
      <c r="P67" s="237"/>
    </row>
    <row r="68" spans="1:17" s="234" customFormat="1" ht="112.2" outlineLevel="1">
      <c r="A68" s="219" t="s">
        <v>331</v>
      </c>
      <c r="C68" s="235" t="s">
        <v>197</v>
      </c>
      <c r="D68" s="235" t="s">
        <v>523</v>
      </c>
      <c r="E68" s="105"/>
      <c r="F68" s="37"/>
      <c r="G68" s="105"/>
      <c r="H68" s="37"/>
      <c r="I68" s="105"/>
      <c r="J68" s="37"/>
      <c r="K68" s="236"/>
      <c r="L68" s="237" t="s">
        <v>870</v>
      </c>
      <c r="M68" s="238"/>
      <c r="N68" s="237"/>
      <c r="O68" s="238"/>
      <c r="P68" s="237"/>
    </row>
    <row r="69" spans="1:17" s="234" customFormat="1" outlineLevel="1">
      <c r="A69" s="219" t="s">
        <v>167</v>
      </c>
      <c r="C69" s="235"/>
      <c r="D69" s="235"/>
      <c r="E69" s="105"/>
      <c r="F69" s="37"/>
      <c r="G69" s="105"/>
      <c r="H69" s="37"/>
      <c r="I69" s="105"/>
      <c r="J69" s="37"/>
      <c r="K69" s="236"/>
      <c r="L69" s="237"/>
      <c r="M69" s="238"/>
      <c r="N69" s="237"/>
      <c r="O69" s="238"/>
      <c r="P69" s="237"/>
    </row>
    <row r="70" spans="1:17" s="234" customFormat="1" outlineLevel="1">
      <c r="A70" s="219" t="s">
        <v>6</v>
      </c>
      <c r="C70" s="235"/>
      <c r="D70" s="235"/>
      <c r="E70" s="105"/>
      <c r="F70" s="37"/>
      <c r="G70" s="105"/>
      <c r="H70" s="37"/>
      <c r="I70" s="105"/>
      <c r="J70" s="37"/>
      <c r="K70" s="236"/>
      <c r="L70" s="237"/>
      <c r="M70" s="238"/>
      <c r="N70" s="237"/>
      <c r="O70" s="238"/>
      <c r="P70" s="237"/>
    </row>
    <row r="71" spans="1:17">
      <c r="E71" s="33"/>
      <c r="F71" s="54"/>
      <c r="G71" s="33"/>
      <c r="H71" s="54"/>
      <c r="I71" s="33"/>
      <c r="J71" s="54"/>
      <c r="K71" s="226"/>
      <c r="L71" s="233"/>
      <c r="N71" s="233"/>
      <c r="P71" s="233"/>
    </row>
    <row r="72" spans="1:17" s="242" customFormat="1">
      <c r="A72" s="239" t="s">
        <v>214</v>
      </c>
      <c r="B72" s="240"/>
      <c r="C72" s="240" t="str">
        <f>"Axiom Query - " &amp; A72</f>
        <v>Axiom Query - [AQ1]</v>
      </c>
      <c r="D72" s="240"/>
      <c r="E72" s="57"/>
      <c r="F72" s="24"/>
      <c r="G72" s="57"/>
      <c r="H72" s="24"/>
      <c r="I72" s="57"/>
      <c r="J72" s="24"/>
      <c r="K72" s="241"/>
      <c r="L72" s="240"/>
      <c r="M72" s="240"/>
      <c r="N72" s="240"/>
      <c r="O72" s="240"/>
      <c r="P72" s="240"/>
      <c r="Q72" s="240"/>
    </row>
    <row r="73" spans="1:17">
      <c r="A73" s="243" t="s">
        <v>491</v>
      </c>
      <c r="B73" s="244"/>
      <c r="C73" s="244" t="s">
        <v>125</v>
      </c>
      <c r="D73" s="244"/>
      <c r="E73" s="33"/>
      <c r="F73" s="4"/>
      <c r="G73" s="33"/>
      <c r="H73" s="4"/>
      <c r="I73" s="33"/>
      <c r="J73" s="4" t="s">
        <v>849</v>
      </c>
      <c r="K73" s="226"/>
      <c r="L73" s="217" t="s">
        <v>64</v>
      </c>
      <c r="M73" s="244"/>
      <c r="N73" s="217"/>
      <c r="O73" s="244"/>
      <c r="P73" s="217"/>
      <c r="Q73" s="244"/>
    </row>
    <row r="74" spans="1:17">
      <c r="A74" s="243" t="s">
        <v>572</v>
      </c>
      <c r="B74" s="244"/>
      <c r="C74" s="245" t="s">
        <v>215</v>
      </c>
      <c r="D74" s="245"/>
      <c r="E74" s="14"/>
      <c r="F74" s="4" t="s">
        <v>484</v>
      </c>
      <c r="G74" s="14"/>
      <c r="H74" s="4" t="s">
        <v>484</v>
      </c>
      <c r="I74" s="14"/>
      <c r="J74" s="4" t="s">
        <v>292</v>
      </c>
      <c r="K74" s="246"/>
      <c r="L74" s="217" t="s">
        <v>292</v>
      </c>
      <c r="N74" s="217" t="s">
        <v>484</v>
      </c>
      <c r="P74" s="217" t="s">
        <v>484</v>
      </c>
      <c r="Q74" s="244"/>
    </row>
    <row r="75" spans="1:17">
      <c r="A75" s="243"/>
      <c r="B75" s="244"/>
      <c r="C75" s="247" t="s">
        <v>332</v>
      </c>
      <c r="D75" s="245"/>
      <c r="E75" s="14"/>
      <c r="F75" s="2"/>
      <c r="G75" s="14"/>
      <c r="H75" s="2"/>
      <c r="I75" s="14"/>
      <c r="J75" s="2"/>
      <c r="K75" s="246"/>
      <c r="L75" s="244"/>
      <c r="M75" s="244"/>
      <c r="N75" s="244"/>
      <c r="O75" s="244"/>
      <c r="P75" s="244"/>
      <c r="Q75" s="244"/>
    </row>
    <row r="76" spans="1:17" outlineLevel="1">
      <c r="A76" s="243" t="s">
        <v>536</v>
      </c>
      <c r="B76" s="244"/>
      <c r="C76" s="245" t="s">
        <v>44</v>
      </c>
      <c r="D76" s="245"/>
      <c r="E76" s="14"/>
      <c r="F76" s="11"/>
      <c r="G76" s="14"/>
      <c r="H76" s="11"/>
      <c r="I76" s="14"/>
      <c r="J76" s="11" t="str">
        <f>Variables!I47</f>
        <v>CYFDriver_2020</v>
      </c>
      <c r="K76" s="246"/>
      <c r="L76" s="248" t="str">
        <f>+Variables!I42</f>
        <v>ACT2020</v>
      </c>
      <c r="M76" s="244"/>
      <c r="N76" s="248"/>
      <c r="O76" s="244"/>
      <c r="P76" s="248"/>
      <c r="Q76" s="244"/>
    </row>
    <row r="77" spans="1:17" outlineLevel="1">
      <c r="A77" s="243" t="s">
        <v>168</v>
      </c>
      <c r="B77" s="244"/>
      <c r="C77" s="249" t="s">
        <v>255</v>
      </c>
      <c r="D77" s="249"/>
      <c r="E77" s="14"/>
      <c r="F77" s="4"/>
      <c r="G77" s="14"/>
      <c r="H77" s="4"/>
      <c r="I77" s="14"/>
      <c r="J77" s="4" t="str">
        <f>J76&amp;".Code"</f>
        <v>CYFDriver_2020.Code</v>
      </c>
      <c r="K77" s="246"/>
      <c r="L77" s="217" t="s">
        <v>750</v>
      </c>
      <c r="M77" s="244"/>
      <c r="N77" s="217"/>
      <c r="O77" s="244"/>
      <c r="P77" s="217"/>
      <c r="Q77" s="244"/>
    </row>
    <row r="78" spans="1:17" outlineLevel="1">
      <c r="A78" s="243" t="s">
        <v>333</v>
      </c>
      <c r="B78" s="244"/>
      <c r="C78" s="249" t="s">
        <v>492</v>
      </c>
      <c r="D78" s="249"/>
      <c r="E78" s="14"/>
      <c r="F78" s="11" t="str">
        <f>IF(F77="","",F77)</f>
        <v/>
      </c>
      <c r="G78" s="14"/>
      <c r="H78" s="11" t="str">
        <f>IF(H77="","",H77)</f>
        <v/>
      </c>
      <c r="I78" s="14"/>
      <c r="J78" s="11" t="str">
        <f>IF(J77="","",J77)</f>
        <v>CYFDriver_2020.Code</v>
      </c>
      <c r="K78" s="246"/>
      <c r="L78" s="248" t="str">
        <f>IF(L77="","",L77)</f>
        <v>ACCT.BudgetType;ACCT.RptMap;DEPT.RptMap</v>
      </c>
      <c r="M78" s="244"/>
      <c r="N78" s="248" t="str">
        <f>IF(N77="","",N77)</f>
        <v/>
      </c>
      <c r="O78" s="244"/>
      <c r="P78" s="248" t="str">
        <f>IF(P77="","",P77)</f>
        <v/>
      </c>
      <c r="Q78" s="244"/>
    </row>
    <row r="79" spans="1:17" outlineLevel="1">
      <c r="A79" s="243" t="s">
        <v>293</v>
      </c>
      <c r="B79" s="244"/>
      <c r="C79" s="249" t="s">
        <v>447</v>
      </c>
      <c r="D79" s="249"/>
      <c r="E79" s="14"/>
      <c r="F79" s="4"/>
      <c r="G79" s="14"/>
      <c r="H79" s="4"/>
      <c r="I79" s="14"/>
      <c r="J79" s="4"/>
      <c r="K79" s="246"/>
      <c r="L79" s="217"/>
      <c r="M79" s="244"/>
      <c r="N79" s="217"/>
      <c r="O79" s="244"/>
      <c r="P79" s="217"/>
      <c r="Q79" s="244"/>
    </row>
    <row r="80" spans="1:17" outlineLevel="1">
      <c r="A80" s="243"/>
      <c r="B80" s="244"/>
      <c r="C80" s="247" t="s">
        <v>364</v>
      </c>
      <c r="D80" s="249"/>
      <c r="E80" s="14"/>
      <c r="F80" s="2"/>
      <c r="G80" s="14"/>
      <c r="H80" s="2"/>
      <c r="I80" s="14"/>
      <c r="J80" s="2"/>
      <c r="K80" s="246"/>
      <c r="L80" s="244"/>
      <c r="M80" s="244"/>
      <c r="N80" s="244"/>
      <c r="O80" s="244"/>
      <c r="P80" s="244"/>
      <c r="Q80" s="244"/>
    </row>
    <row r="81" spans="1:17" s="224" customFormat="1" ht="30.6" outlineLevel="2">
      <c r="A81" s="250" t="s">
        <v>82</v>
      </c>
      <c r="B81" s="251"/>
      <c r="C81" s="249" t="s">
        <v>408</v>
      </c>
      <c r="D81" s="249"/>
      <c r="E81" s="58"/>
      <c r="F81" s="44"/>
      <c r="G81" s="58"/>
      <c r="H81" s="44"/>
      <c r="I81" s="58"/>
      <c r="J81" s="44" t="str">
        <f>"Code like '"&amp;CYFDriver!C25&amp;"_%'"</f>
        <v>Code like '0_%'</v>
      </c>
      <c r="K81" s="252"/>
      <c r="L81" s="253" t="s">
        <v>653</v>
      </c>
      <c r="M81" s="254"/>
      <c r="N81" s="253"/>
      <c r="O81" s="254"/>
      <c r="P81" s="253"/>
      <c r="Q81" s="255"/>
    </row>
    <row r="82" spans="1:17" outlineLevel="2">
      <c r="A82" s="243" t="s">
        <v>45</v>
      </c>
      <c r="B82" s="244"/>
      <c r="C82" s="249" t="s">
        <v>334</v>
      </c>
      <c r="D82" s="249"/>
      <c r="E82" s="14"/>
      <c r="F82" s="44"/>
      <c r="G82" s="14"/>
      <c r="H82" s="44"/>
      <c r="I82" s="14"/>
      <c r="J82" s="44"/>
      <c r="K82" s="246"/>
      <c r="L82" s="253"/>
      <c r="M82" s="244"/>
      <c r="N82" s="253"/>
      <c r="O82" s="244"/>
      <c r="P82" s="253"/>
      <c r="Q82" s="244"/>
    </row>
    <row r="83" spans="1:17" outlineLevel="2">
      <c r="A83" s="243" t="s">
        <v>46</v>
      </c>
      <c r="B83" s="244"/>
      <c r="C83" s="249" t="s">
        <v>256</v>
      </c>
      <c r="D83" s="249"/>
      <c r="E83" s="14"/>
      <c r="F83" s="44"/>
      <c r="G83" s="14"/>
      <c r="H83" s="44"/>
      <c r="I83" s="14"/>
      <c r="J83" s="44"/>
      <c r="K83" s="246"/>
      <c r="L83" s="253"/>
      <c r="M83" s="244"/>
      <c r="N83" s="253"/>
      <c r="O83" s="244"/>
      <c r="P83" s="253"/>
      <c r="Q83" s="244"/>
    </row>
    <row r="84" spans="1:17" outlineLevel="2">
      <c r="A84" s="243" t="s">
        <v>537</v>
      </c>
      <c r="B84" s="244"/>
      <c r="C84" s="249" t="s">
        <v>216</v>
      </c>
      <c r="D84" s="249"/>
      <c r="E84" s="14"/>
      <c r="F84" s="44"/>
      <c r="G84" s="14"/>
      <c r="H84" s="44"/>
      <c r="I84" s="14"/>
      <c r="J84" s="44"/>
      <c r="K84" s="246"/>
      <c r="L84" s="253"/>
      <c r="M84" s="244"/>
      <c r="N84" s="253"/>
      <c r="O84" s="244"/>
      <c r="P84" s="253"/>
      <c r="Q84" s="244"/>
    </row>
    <row r="85" spans="1:17" outlineLevel="1">
      <c r="A85" s="243" t="s">
        <v>126</v>
      </c>
      <c r="B85" s="244"/>
      <c r="C85" s="244" t="s">
        <v>448</v>
      </c>
      <c r="D85" s="244"/>
      <c r="E85" s="14"/>
      <c r="F85" s="4" t="s">
        <v>484</v>
      </c>
      <c r="G85" s="14"/>
      <c r="H85" s="4" t="s">
        <v>484</v>
      </c>
      <c r="I85" s="14"/>
      <c r="J85" s="4" t="s">
        <v>484</v>
      </c>
      <c r="K85" s="246"/>
      <c r="L85" s="217" t="s">
        <v>292</v>
      </c>
      <c r="N85" s="217" t="s">
        <v>484</v>
      </c>
      <c r="P85" s="217" t="s">
        <v>484</v>
      </c>
      <c r="Q85" s="244"/>
    </row>
    <row r="86" spans="1:17" outlineLevel="1">
      <c r="A86" s="243" t="s">
        <v>47</v>
      </c>
      <c r="B86" s="244"/>
      <c r="C86" s="244" t="s">
        <v>7</v>
      </c>
      <c r="D86" s="249"/>
      <c r="E86" s="2"/>
      <c r="F86" s="4"/>
      <c r="G86" s="2"/>
      <c r="H86" s="4"/>
      <c r="I86" s="2"/>
      <c r="J86" s="4"/>
      <c r="K86" s="244"/>
      <c r="L86" s="217"/>
      <c r="M86" s="244"/>
      <c r="N86" s="217"/>
      <c r="O86" s="244"/>
      <c r="P86" s="217"/>
      <c r="Q86" s="244"/>
    </row>
    <row r="87" spans="1:17" outlineLevel="1">
      <c r="A87" s="243" t="s">
        <v>48</v>
      </c>
      <c r="B87" s="244"/>
      <c r="C87" s="244" t="s">
        <v>83</v>
      </c>
      <c r="D87" s="249"/>
      <c r="E87" s="2"/>
      <c r="F87" s="4"/>
      <c r="G87" s="2"/>
      <c r="H87" s="4"/>
      <c r="I87" s="2"/>
      <c r="J87" s="4"/>
      <c r="K87" s="244"/>
      <c r="L87" s="217"/>
      <c r="M87" s="244"/>
      <c r="N87" s="217"/>
      <c r="O87" s="244"/>
      <c r="P87" s="217"/>
      <c r="Q87" s="244"/>
    </row>
    <row r="88" spans="1:17" outlineLevel="1">
      <c r="A88" s="243" t="s">
        <v>112</v>
      </c>
      <c r="B88" s="244"/>
      <c r="C88" s="244" t="s">
        <v>439</v>
      </c>
      <c r="D88" s="249"/>
      <c r="E88" s="2"/>
      <c r="F88" s="4"/>
      <c r="G88" s="2"/>
      <c r="H88" s="4"/>
      <c r="I88" s="2"/>
      <c r="J88" s="4"/>
      <c r="K88" s="244"/>
      <c r="L88" s="217"/>
      <c r="M88" s="244"/>
      <c r="N88" s="217"/>
      <c r="O88" s="244"/>
      <c r="P88" s="217"/>
      <c r="Q88" s="244"/>
    </row>
    <row r="89" spans="1:17" outlineLevel="1">
      <c r="A89" s="243" t="s">
        <v>284</v>
      </c>
      <c r="B89" s="244"/>
      <c r="C89" s="244" t="s">
        <v>287</v>
      </c>
      <c r="D89" s="249"/>
      <c r="E89" s="2"/>
      <c r="F89" s="4"/>
      <c r="G89" s="2"/>
      <c r="H89" s="4"/>
      <c r="I89" s="2"/>
      <c r="J89" s="4"/>
      <c r="K89" s="244"/>
      <c r="L89" s="217"/>
      <c r="M89" s="244"/>
      <c r="N89" s="217"/>
      <c r="O89" s="244"/>
      <c r="P89" s="217"/>
      <c r="Q89" s="244"/>
    </row>
    <row r="90" spans="1:17" collapsed="1">
      <c r="A90" s="243"/>
      <c r="B90" s="244"/>
      <c r="C90" s="247" t="s">
        <v>257</v>
      </c>
      <c r="D90" s="249"/>
      <c r="E90" s="2"/>
      <c r="F90" s="2"/>
      <c r="G90" s="2"/>
      <c r="H90" s="2"/>
      <c r="I90" s="2"/>
      <c r="J90" s="2"/>
      <c r="K90" s="244"/>
      <c r="L90" s="244"/>
      <c r="M90" s="244"/>
      <c r="N90" s="244"/>
      <c r="O90" s="244"/>
      <c r="P90" s="244"/>
      <c r="Q90" s="244"/>
    </row>
    <row r="91" spans="1:17" hidden="1" outlineLevel="1">
      <c r="A91" s="243" t="s">
        <v>409</v>
      </c>
      <c r="B91" s="244"/>
      <c r="C91" s="249" t="s">
        <v>217</v>
      </c>
      <c r="D91" s="244"/>
      <c r="E91" s="14"/>
      <c r="F91" s="4" t="s">
        <v>615</v>
      </c>
      <c r="G91" s="14"/>
      <c r="H91" s="4" t="s">
        <v>615</v>
      </c>
      <c r="I91" s="14"/>
      <c r="J91" s="4" t="s">
        <v>615</v>
      </c>
      <c r="K91" s="246"/>
      <c r="L91" s="217" t="s">
        <v>615</v>
      </c>
      <c r="N91" s="217" t="s">
        <v>615</v>
      </c>
      <c r="P91" s="217" t="s">
        <v>615</v>
      </c>
      <c r="Q91" s="244"/>
    </row>
    <row r="92" spans="1:17" hidden="1" outlineLevel="1">
      <c r="A92" s="243" t="s">
        <v>218</v>
      </c>
      <c r="B92" s="244"/>
      <c r="C92" s="249" t="s">
        <v>573</v>
      </c>
      <c r="D92" s="244"/>
      <c r="E92" s="14"/>
      <c r="F92" s="4" t="s">
        <v>484</v>
      </c>
      <c r="G92" s="14"/>
      <c r="H92" s="4" t="s">
        <v>484</v>
      </c>
      <c r="I92" s="14"/>
      <c r="J92" s="4" t="s">
        <v>484</v>
      </c>
      <c r="K92" s="246"/>
      <c r="L92" s="217" t="s">
        <v>484</v>
      </c>
      <c r="N92" s="217" t="s">
        <v>484</v>
      </c>
      <c r="P92" s="217" t="s">
        <v>484</v>
      </c>
      <c r="Q92" s="244"/>
    </row>
    <row r="93" spans="1:17" hidden="1" outlineLevel="1">
      <c r="A93" s="243" t="s">
        <v>294</v>
      </c>
      <c r="B93" s="244"/>
      <c r="C93" s="249" t="s">
        <v>493</v>
      </c>
      <c r="D93" s="244"/>
      <c r="E93" s="14"/>
      <c r="F93" s="4" t="s">
        <v>484</v>
      </c>
      <c r="G93" s="14"/>
      <c r="H93" s="4" t="s">
        <v>484</v>
      </c>
      <c r="I93" s="14"/>
      <c r="J93" s="4" t="s">
        <v>484</v>
      </c>
      <c r="K93" s="246"/>
      <c r="L93" s="217" t="s">
        <v>484</v>
      </c>
      <c r="N93" s="217" t="s">
        <v>484</v>
      </c>
      <c r="P93" s="217" t="s">
        <v>484</v>
      </c>
      <c r="Q93" s="244"/>
    </row>
    <row r="94" spans="1:17" hidden="1" outlineLevel="1">
      <c r="A94" s="243" t="s">
        <v>410</v>
      </c>
      <c r="B94" s="244"/>
      <c r="C94" s="249" t="s">
        <v>616</v>
      </c>
      <c r="D94" s="244"/>
      <c r="E94" s="14"/>
      <c r="F94" s="4" t="s">
        <v>292</v>
      </c>
      <c r="G94" s="14"/>
      <c r="H94" s="4" t="s">
        <v>292</v>
      </c>
      <c r="I94" s="14"/>
      <c r="J94" s="4" t="s">
        <v>292</v>
      </c>
      <c r="K94" s="246"/>
      <c r="L94" s="217" t="s">
        <v>484</v>
      </c>
      <c r="N94" s="217" t="s">
        <v>292</v>
      </c>
      <c r="P94" s="217" t="s">
        <v>292</v>
      </c>
      <c r="Q94" s="244"/>
    </row>
    <row r="95" spans="1:17" s="244" customFormat="1" collapsed="1">
      <c r="A95" s="243"/>
      <c r="C95" s="247" t="s">
        <v>295</v>
      </c>
      <c r="D95" s="256"/>
      <c r="E95" s="2"/>
      <c r="F95" s="2"/>
      <c r="G95" s="2"/>
      <c r="H95" s="2"/>
      <c r="I95" s="2"/>
      <c r="J95" s="2"/>
    </row>
    <row r="96" spans="1:17" s="244" customFormat="1" hidden="1" outlineLevel="1">
      <c r="A96" s="243"/>
      <c r="C96" s="257" t="s">
        <v>127</v>
      </c>
      <c r="D96" s="256"/>
      <c r="E96" s="2"/>
      <c r="F96" s="2"/>
      <c r="G96" s="2"/>
      <c r="H96" s="2"/>
      <c r="I96" s="2"/>
      <c r="J96" s="2"/>
    </row>
    <row r="97" spans="1:17" hidden="1" outlineLevel="2">
      <c r="A97" s="243" t="s">
        <v>258</v>
      </c>
      <c r="B97" s="244"/>
      <c r="C97" s="258" t="s">
        <v>219</v>
      </c>
      <c r="D97" s="249"/>
      <c r="E97" s="2"/>
      <c r="F97" s="12" t="s">
        <v>84</v>
      </c>
      <c r="G97" s="2"/>
      <c r="H97" s="12" t="s">
        <v>84</v>
      </c>
      <c r="I97" s="2"/>
      <c r="J97" s="12" t="s">
        <v>263</v>
      </c>
      <c r="K97" s="244"/>
      <c r="L97" s="231" t="s">
        <v>84</v>
      </c>
      <c r="M97" s="259"/>
      <c r="N97" s="231" t="s">
        <v>84</v>
      </c>
      <c r="O97" s="259"/>
      <c r="P97" s="231" t="s">
        <v>84</v>
      </c>
      <c r="Q97" s="259"/>
    </row>
    <row r="98" spans="1:17" hidden="1" outlineLevel="2">
      <c r="A98" s="243" t="s">
        <v>49</v>
      </c>
      <c r="B98" s="244"/>
      <c r="C98" s="258" t="s">
        <v>169</v>
      </c>
      <c r="D98" s="249"/>
      <c r="E98" s="2"/>
      <c r="F98" s="11" t="s">
        <v>494</v>
      </c>
      <c r="G98" s="2"/>
      <c r="H98" s="11" t="s">
        <v>494</v>
      </c>
      <c r="I98" s="2"/>
      <c r="J98" s="11" t="s">
        <v>494</v>
      </c>
      <c r="K98" s="244"/>
      <c r="L98" s="248" t="s">
        <v>494</v>
      </c>
      <c r="M98" s="244"/>
      <c r="N98" s="248" t="s">
        <v>494</v>
      </c>
      <c r="O98" s="244"/>
      <c r="P98" s="248" t="s">
        <v>494</v>
      </c>
      <c r="Q98" s="244"/>
    </row>
    <row r="99" spans="1:17" hidden="1" outlineLevel="2">
      <c r="A99" s="243" t="s">
        <v>411</v>
      </c>
      <c r="B99" s="244"/>
      <c r="C99" s="258" t="s">
        <v>617</v>
      </c>
      <c r="D99" s="249"/>
      <c r="E99" s="2"/>
      <c r="F99" s="4"/>
      <c r="G99" s="2"/>
      <c r="H99" s="4"/>
      <c r="I99" s="2"/>
      <c r="J99" s="4"/>
      <c r="K99" s="244"/>
      <c r="L99" s="217"/>
      <c r="M99" s="244"/>
      <c r="N99" s="217"/>
      <c r="O99" s="244"/>
      <c r="P99" s="217"/>
      <c r="Q99" s="244"/>
    </row>
    <row r="100" spans="1:17" hidden="1" outlineLevel="1">
      <c r="A100" s="243"/>
      <c r="B100" s="244"/>
      <c r="C100" s="257" t="s">
        <v>335</v>
      </c>
      <c r="D100" s="249"/>
      <c r="E100" s="2"/>
      <c r="F100" s="2"/>
      <c r="G100" s="2"/>
      <c r="H100" s="2"/>
      <c r="I100" s="2"/>
      <c r="J100" s="2"/>
      <c r="K100" s="244"/>
      <c r="L100" s="244"/>
      <c r="M100" s="244"/>
      <c r="N100" s="244"/>
      <c r="O100" s="244"/>
      <c r="P100" s="244"/>
      <c r="Q100" s="244"/>
    </row>
    <row r="101" spans="1:17" s="265" customFormat="1" hidden="1" outlineLevel="2">
      <c r="A101" s="260" t="s">
        <v>574</v>
      </c>
      <c r="B101" s="261"/>
      <c r="C101" s="258" t="s">
        <v>259</v>
      </c>
      <c r="D101" s="262"/>
      <c r="E101" s="8"/>
      <c r="F101" s="46" t="s">
        <v>575</v>
      </c>
      <c r="G101" s="8"/>
      <c r="H101" s="46" t="s">
        <v>575</v>
      </c>
      <c r="I101" s="8"/>
      <c r="J101" s="46" t="s">
        <v>854</v>
      </c>
      <c r="K101" s="261"/>
      <c r="L101" s="263" t="s">
        <v>575</v>
      </c>
      <c r="M101" s="264"/>
      <c r="N101" s="263" t="s">
        <v>575</v>
      </c>
      <c r="O101" s="264"/>
      <c r="P101" s="263" t="s">
        <v>575</v>
      </c>
    </row>
    <row r="102" spans="1:17" s="261" customFormat="1" hidden="1" outlineLevel="2">
      <c r="A102" s="260" t="s">
        <v>2</v>
      </c>
      <c r="C102" s="266" t="s">
        <v>170</v>
      </c>
      <c r="D102" s="266"/>
      <c r="E102" s="27"/>
      <c r="F102" s="25"/>
      <c r="G102" s="27"/>
      <c r="H102" s="25"/>
      <c r="I102" s="27"/>
      <c r="J102" s="25"/>
      <c r="K102" s="266"/>
      <c r="L102" s="267"/>
      <c r="N102" s="267"/>
      <c r="P102" s="267"/>
    </row>
    <row r="103" spans="1:17" s="265" customFormat="1" hidden="1" outlineLevel="2">
      <c r="A103" s="260" t="s">
        <v>412</v>
      </c>
      <c r="B103" s="261"/>
      <c r="C103" s="258" t="s">
        <v>576</v>
      </c>
      <c r="D103" s="262"/>
      <c r="E103" s="8"/>
      <c r="F103" s="26"/>
      <c r="G103" s="8"/>
      <c r="H103" s="26"/>
      <c r="I103" s="8"/>
      <c r="J103" s="26"/>
      <c r="K103" s="261"/>
      <c r="L103" s="268"/>
      <c r="M103" s="261"/>
      <c r="N103" s="268"/>
      <c r="O103" s="261"/>
      <c r="P103" s="268"/>
    </row>
    <row r="104" spans="1:17" s="261" customFormat="1" hidden="1" outlineLevel="2">
      <c r="A104" s="260" t="s">
        <v>2</v>
      </c>
      <c r="C104" s="266" t="s">
        <v>538</v>
      </c>
      <c r="D104" s="266"/>
      <c r="E104" s="27"/>
      <c r="F104" s="25"/>
      <c r="G104" s="27"/>
      <c r="H104" s="25"/>
      <c r="I104" s="27"/>
      <c r="J104" s="25"/>
      <c r="K104" s="266"/>
      <c r="L104" s="267"/>
      <c r="N104" s="267"/>
      <c r="P104" s="267"/>
    </row>
    <row r="105" spans="1:17" s="261" customFormat="1" hidden="1" outlineLevel="2">
      <c r="A105" s="260" t="s">
        <v>2</v>
      </c>
      <c r="C105" s="258" t="s">
        <v>336</v>
      </c>
      <c r="D105" s="266"/>
      <c r="E105" s="27"/>
      <c r="F105" s="25"/>
      <c r="G105" s="27"/>
      <c r="H105" s="25"/>
      <c r="I105" s="27"/>
      <c r="J105" s="25"/>
      <c r="K105" s="266"/>
      <c r="L105" s="267"/>
      <c r="N105" s="267"/>
      <c r="P105" s="267"/>
    </row>
    <row r="106" spans="1:17" s="265" customFormat="1" hidden="1" outlineLevel="2">
      <c r="A106" s="260" t="s">
        <v>413</v>
      </c>
      <c r="B106" s="261"/>
      <c r="C106" s="269" t="s">
        <v>577</v>
      </c>
      <c r="D106" s="262"/>
      <c r="E106" s="8"/>
      <c r="F106" s="47"/>
      <c r="G106" s="8"/>
      <c r="H106" s="47"/>
      <c r="I106" s="8"/>
      <c r="J106" s="47"/>
      <c r="K106" s="261"/>
      <c r="L106" s="270"/>
      <c r="M106" s="261"/>
      <c r="N106" s="270"/>
      <c r="O106" s="261"/>
      <c r="P106" s="270"/>
    </row>
    <row r="107" spans="1:17" s="265" customFormat="1" hidden="1" outlineLevel="2">
      <c r="A107" s="260" t="s">
        <v>618</v>
      </c>
      <c r="B107" s="261"/>
      <c r="C107" s="269" t="s">
        <v>495</v>
      </c>
      <c r="D107" s="262"/>
      <c r="E107" s="8"/>
      <c r="F107" s="47"/>
      <c r="G107" s="8"/>
      <c r="H107" s="47"/>
      <c r="I107" s="8"/>
      <c r="J107" s="47"/>
      <c r="K107" s="261"/>
      <c r="L107" s="270"/>
      <c r="M107" s="261"/>
      <c r="N107" s="270"/>
      <c r="O107" s="261"/>
      <c r="P107" s="270"/>
    </row>
    <row r="108" spans="1:17" s="265" customFormat="1" hidden="1" outlineLevel="2">
      <c r="A108" s="260" t="s">
        <v>539</v>
      </c>
      <c r="B108" s="261"/>
      <c r="C108" s="269" t="s">
        <v>496</v>
      </c>
      <c r="D108" s="262"/>
      <c r="E108" s="8"/>
      <c r="F108" s="47"/>
      <c r="G108" s="8"/>
      <c r="H108" s="47"/>
      <c r="I108" s="8"/>
      <c r="J108" s="47"/>
      <c r="K108" s="261"/>
      <c r="L108" s="270"/>
      <c r="M108" s="261"/>
      <c r="N108" s="270"/>
      <c r="O108" s="261"/>
      <c r="P108" s="270"/>
    </row>
    <row r="109" spans="1:17" s="265" customFormat="1" hidden="1" outlineLevel="2">
      <c r="A109" s="260" t="s">
        <v>220</v>
      </c>
      <c r="B109" s="261"/>
      <c r="C109" s="269" t="s">
        <v>619</v>
      </c>
      <c r="D109" s="262"/>
      <c r="E109" s="8"/>
      <c r="F109" s="47"/>
      <c r="G109" s="8"/>
      <c r="H109" s="47"/>
      <c r="I109" s="8"/>
      <c r="J109" s="47"/>
      <c r="K109" s="261"/>
      <c r="L109" s="270"/>
      <c r="M109" s="261"/>
      <c r="N109" s="270"/>
      <c r="O109" s="261"/>
      <c r="P109" s="270"/>
    </row>
    <row r="110" spans="1:17" s="261" customFormat="1" hidden="1" outlineLevel="2">
      <c r="A110" s="260" t="s">
        <v>2</v>
      </c>
      <c r="C110" s="271"/>
      <c r="D110" s="271"/>
      <c r="E110" s="8"/>
      <c r="F110" s="8"/>
      <c r="G110" s="8"/>
      <c r="H110" s="8"/>
      <c r="I110" s="8"/>
      <c r="J110" s="8"/>
    </row>
    <row r="111" spans="1:17" s="265" customFormat="1" hidden="1" outlineLevel="2">
      <c r="A111" s="260" t="s">
        <v>85</v>
      </c>
      <c r="B111" s="261"/>
      <c r="C111" s="272" t="s">
        <v>128</v>
      </c>
      <c r="D111" s="262"/>
      <c r="E111" s="8"/>
      <c r="F111" s="26"/>
      <c r="G111" s="8"/>
      <c r="H111" s="26"/>
      <c r="I111" s="8"/>
      <c r="J111" s="26"/>
      <c r="K111" s="261"/>
      <c r="L111" s="268"/>
      <c r="M111" s="261"/>
      <c r="N111" s="268"/>
      <c r="O111" s="261"/>
      <c r="P111" s="268"/>
    </row>
    <row r="112" spans="1:17" collapsed="1">
      <c r="A112" s="243"/>
      <c r="B112" s="244"/>
      <c r="C112" s="247" t="s">
        <v>337</v>
      </c>
      <c r="D112" s="249"/>
      <c r="E112" s="2"/>
      <c r="F112" s="2"/>
      <c r="G112" s="2"/>
      <c r="H112" s="2"/>
      <c r="I112" s="2"/>
      <c r="J112" s="2"/>
      <c r="K112" s="244"/>
      <c r="L112" s="244"/>
      <c r="M112" s="244"/>
      <c r="N112" s="244"/>
      <c r="O112" s="244"/>
      <c r="P112" s="244"/>
      <c r="Q112" s="244"/>
    </row>
    <row r="113" spans="1:17" hidden="1" outlineLevel="1">
      <c r="A113" s="243"/>
      <c r="B113" s="244"/>
      <c r="C113" s="245" t="s">
        <v>86</v>
      </c>
      <c r="D113" s="249"/>
      <c r="E113" s="2"/>
      <c r="F113" s="2"/>
      <c r="G113" s="2"/>
      <c r="H113" s="2"/>
      <c r="I113" s="2"/>
      <c r="J113" s="2"/>
      <c r="K113" s="244"/>
      <c r="L113" s="244"/>
      <c r="M113" s="244"/>
      <c r="N113" s="244"/>
      <c r="O113" s="244"/>
      <c r="P113" s="244"/>
      <c r="Q113" s="244"/>
    </row>
    <row r="114" spans="1:17" hidden="1" outlineLevel="1">
      <c r="A114" s="243" t="s">
        <v>578</v>
      </c>
      <c r="B114" s="244"/>
      <c r="C114" s="249" t="s">
        <v>260</v>
      </c>
      <c r="D114" s="249"/>
      <c r="E114" s="2"/>
      <c r="F114" s="12" t="s">
        <v>2</v>
      </c>
      <c r="G114" s="2"/>
      <c r="H114" s="12" t="s">
        <v>2</v>
      </c>
      <c r="I114" s="2"/>
      <c r="J114" s="12" t="s">
        <v>2</v>
      </c>
      <c r="K114" s="244"/>
      <c r="L114" s="231" t="s">
        <v>2</v>
      </c>
      <c r="M114" s="259"/>
      <c r="N114" s="231" t="s">
        <v>2</v>
      </c>
      <c r="O114" s="259"/>
      <c r="P114" s="231" t="s">
        <v>2</v>
      </c>
      <c r="Q114" s="259"/>
    </row>
    <row r="115" spans="1:17" hidden="1" outlineLevel="1">
      <c r="A115" s="243" t="s">
        <v>261</v>
      </c>
      <c r="B115" s="244"/>
      <c r="C115" s="249" t="s">
        <v>620</v>
      </c>
      <c r="D115" s="249"/>
      <c r="E115" s="2"/>
      <c r="F115" s="12" t="s">
        <v>2</v>
      </c>
      <c r="G115" s="2"/>
      <c r="H115" s="12" t="s">
        <v>2</v>
      </c>
      <c r="I115" s="2"/>
      <c r="J115" s="12" t="s">
        <v>2</v>
      </c>
      <c r="K115" s="244"/>
      <c r="L115" s="231" t="s">
        <v>2</v>
      </c>
      <c r="M115" s="244"/>
      <c r="N115" s="231" t="s">
        <v>2</v>
      </c>
      <c r="O115" s="244"/>
      <c r="P115" s="231" t="s">
        <v>2</v>
      </c>
      <c r="Q115" s="244"/>
    </row>
    <row r="116" spans="1:17" s="244" customFormat="1" hidden="1" outlineLevel="1">
      <c r="A116" s="243"/>
      <c r="C116" s="245" t="s">
        <v>50</v>
      </c>
      <c r="D116" s="256"/>
      <c r="E116" s="2"/>
      <c r="F116" s="2"/>
      <c r="G116" s="2"/>
      <c r="H116" s="2"/>
      <c r="I116" s="2"/>
      <c r="J116" s="2"/>
    </row>
    <row r="117" spans="1:17" hidden="1" outlineLevel="1">
      <c r="A117" s="243" t="s">
        <v>579</v>
      </c>
      <c r="B117" s="244"/>
      <c r="C117" s="249" t="s">
        <v>221</v>
      </c>
      <c r="D117" s="249"/>
      <c r="E117" s="2"/>
      <c r="F117" s="12" t="s">
        <v>2</v>
      </c>
      <c r="G117" s="2"/>
      <c r="H117" s="12" t="s">
        <v>2</v>
      </c>
      <c r="I117" s="2"/>
      <c r="J117" s="12" t="s">
        <v>2</v>
      </c>
      <c r="K117" s="244"/>
      <c r="L117" s="231" t="s">
        <v>2</v>
      </c>
      <c r="M117" s="259"/>
      <c r="N117" s="231" t="s">
        <v>2</v>
      </c>
      <c r="O117" s="259"/>
      <c r="P117" s="231" t="s">
        <v>2</v>
      </c>
      <c r="Q117" s="259"/>
    </row>
    <row r="118" spans="1:17" s="244" customFormat="1" collapsed="1">
      <c r="A118" s="243"/>
      <c r="C118" s="247" t="s">
        <v>580</v>
      </c>
      <c r="D118" s="256"/>
      <c r="E118" s="2"/>
      <c r="F118" s="2"/>
      <c r="G118" s="2"/>
      <c r="H118" s="2"/>
      <c r="I118" s="2"/>
      <c r="J118" s="2"/>
    </row>
    <row r="119" spans="1:17" hidden="1" outlineLevel="1">
      <c r="A119" s="243" t="s">
        <v>222</v>
      </c>
      <c r="B119" s="244"/>
      <c r="C119" s="273" t="s">
        <v>262</v>
      </c>
      <c r="D119" s="244"/>
      <c r="E119" s="14"/>
      <c r="F119" s="4" t="s">
        <v>292</v>
      </c>
      <c r="G119" s="14"/>
      <c r="H119" s="4" t="s">
        <v>292</v>
      </c>
      <c r="I119" s="14"/>
      <c r="J119" s="4" t="s">
        <v>292</v>
      </c>
      <c r="K119" s="246"/>
      <c r="L119" s="217" t="s">
        <v>292</v>
      </c>
      <c r="N119" s="217" t="s">
        <v>292</v>
      </c>
      <c r="P119" s="217" t="s">
        <v>292</v>
      </c>
      <c r="Q119" s="244"/>
    </row>
    <row r="120" spans="1:17" hidden="1" outlineLevel="1">
      <c r="A120" s="243" t="s">
        <v>540</v>
      </c>
      <c r="B120" s="244"/>
      <c r="C120" s="273" t="s">
        <v>51</v>
      </c>
      <c r="D120" s="244"/>
      <c r="E120" s="14"/>
      <c r="F120" s="4" t="s">
        <v>292</v>
      </c>
      <c r="G120" s="14"/>
      <c r="H120" s="4" t="s">
        <v>292</v>
      </c>
      <c r="I120" s="14"/>
      <c r="J120" s="4" t="s">
        <v>292</v>
      </c>
      <c r="K120" s="246"/>
      <c r="L120" s="217" t="s">
        <v>292</v>
      </c>
      <c r="N120" s="217" t="s">
        <v>292</v>
      </c>
      <c r="P120" s="217" t="s">
        <v>292</v>
      </c>
      <c r="Q120" s="244"/>
    </row>
    <row r="121" spans="1:17" hidden="1" outlineLevel="1">
      <c r="A121" s="243" t="s">
        <v>397</v>
      </c>
      <c r="B121" s="244"/>
      <c r="C121" s="273" t="s">
        <v>399</v>
      </c>
      <c r="D121" s="244"/>
      <c r="E121" s="14"/>
      <c r="F121" s="4"/>
      <c r="G121" s="14"/>
      <c r="H121" s="4"/>
      <c r="I121" s="14"/>
      <c r="J121" s="4"/>
      <c r="K121" s="246"/>
      <c r="L121" s="217"/>
      <c r="N121" s="217"/>
      <c r="P121" s="217"/>
      <c r="Q121" s="244"/>
    </row>
    <row r="122" spans="1:17" hidden="1" outlineLevel="1">
      <c r="A122" s="243" t="s">
        <v>449</v>
      </c>
      <c r="B122" s="244"/>
      <c r="C122" s="273" t="s">
        <v>497</v>
      </c>
      <c r="D122" s="244"/>
      <c r="E122" s="14"/>
      <c r="F122" s="4" t="s">
        <v>484</v>
      </c>
      <c r="G122" s="14"/>
      <c r="H122" s="4" t="s">
        <v>484</v>
      </c>
      <c r="I122" s="14"/>
      <c r="J122" s="4" t="s">
        <v>484</v>
      </c>
      <c r="K122" s="246"/>
      <c r="L122" s="217" t="s">
        <v>484</v>
      </c>
      <c r="N122" s="217" t="s">
        <v>484</v>
      </c>
      <c r="P122" s="217" t="s">
        <v>484</v>
      </c>
      <c r="Q122" s="244"/>
    </row>
    <row r="123" spans="1:17" hidden="1" outlineLevel="1">
      <c r="A123" s="243" t="s">
        <v>450</v>
      </c>
      <c r="B123" s="244"/>
      <c r="C123" s="273" t="s">
        <v>498</v>
      </c>
      <c r="D123" s="244"/>
      <c r="E123" s="14"/>
      <c r="F123" s="4" t="s">
        <v>484</v>
      </c>
      <c r="G123" s="14"/>
      <c r="H123" s="4" t="s">
        <v>484</v>
      </c>
      <c r="I123" s="14"/>
      <c r="J123" s="4" t="s">
        <v>484</v>
      </c>
      <c r="K123" s="246"/>
      <c r="L123" s="217" t="s">
        <v>484</v>
      </c>
      <c r="N123" s="217" t="s">
        <v>484</v>
      </c>
      <c r="P123" s="217" t="s">
        <v>484</v>
      </c>
      <c r="Q123" s="244"/>
    </row>
    <row r="124" spans="1:17" hidden="1" outlineLevel="1">
      <c r="A124" s="243" t="s">
        <v>621</v>
      </c>
      <c r="B124" s="244"/>
      <c r="C124" s="273" t="s">
        <v>414</v>
      </c>
      <c r="D124" s="244"/>
      <c r="E124" s="14"/>
      <c r="F124" s="4" t="s">
        <v>484</v>
      </c>
      <c r="G124" s="14"/>
      <c r="H124" s="4" t="s">
        <v>484</v>
      </c>
      <c r="I124" s="14"/>
      <c r="J124" s="4" t="s">
        <v>484</v>
      </c>
      <c r="K124" s="246"/>
      <c r="L124" s="217" t="s">
        <v>484</v>
      </c>
      <c r="N124" s="217" t="s">
        <v>484</v>
      </c>
      <c r="P124" s="217" t="s">
        <v>484</v>
      </c>
      <c r="Q124" s="244"/>
    </row>
    <row r="125" spans="1:17" hidden="1" outlineLevel="1">
      <c r="A125" s="243" t="s">
        <v>563</v>
      </c>
      <c r="B125" s="244"/>
      <c r="C125" s="273" t="s">
        <v>480</v>
      </c>
      <c r="D125" s="244"/>
      <c r="E125" s="14"/>
      <c r="F125" s="4"/>
      <c r="G125" s="14"/>
      <c r="H125" s="4"/>
      <c r="I125" s="14"/>
      <c r="J125" s="4"/>
      <c r="K125" s="246"/>
      <c r="L125" s="217"/>
      <c r="N125" s="217"/>
      <c r="P125" s="217"/>
      <c r="Q125" s="244"/>
    </row>
    <row r="126" spans="1:17" hidden="1" outlineLevel="1">
      <c r="A126" s="243" t="s">
        <v>162</v>
      </c>
      <c r="B126" s="244"/>
      <c r="C126" s="273" t="s">
        <v>206</v>
      </c>
      <c r="D126" s="244"/>
      <c r="E126" s="14"/>
      <c r="F126" s="4"/>
      <c r="G126" s="14"/>
      <c r="H126" s="4"/>
      <c r="I126" s="14"/>
      <c r="J126" s="4"/>
      <c r="K126" s="246"/>
      <c r="L126" s="217"/>
      <c r="N126" s="217"/>
      <c r="P126" s="217"/>
      <c r="Q126" s="244"/>
    </row>
    <row r="127" spans="1:17" hidden="1" outlineLevel="1">
      <c r="A127" s="243" t="s">
        <v>659</v>
      </c>
      <c r="B127" s="244"/>
      <c r="C127" s="273" t="s">
        <v>660</v>
      </c>
      <c r="D127" s="244"/>
      <c r="E127" s="14"/>
      <c r="F127" s="44"/>
      <c r="G127" s="14"/>
      <c r="H127" s="44"/>
      <c r="I127" s="14"/>
      <c r="J127" s="44"/>
      <c r="K127" s="246"/>
      <c r="L127" s="253"/>
      <c r="M127" s="244"/>
      <c r="N127" s="253"/>
      <c r="O127" s="244"/>
      <c r="P127" s="253"/>
      <c r="Q127" s="244"/>
    </row>
    <row r="128" spans="1:17" hidden="1" outlineLevel="1">
      <c r="A128" s="243" t="s">
        <v>326</v>
      </c>
      <c r="B128" s="244"/>
      <c r="C128" s="273" t="s">
        <v>365</v>
      </c>
      <c r="D128" s="244"/>
      <c r="E128" s="14"/>
      <c r="F128" s="11"/>
      <c r="G128" s="14"/>
      <c r="H128" s="11"/>
      <c r="I128" s="14"/>
      <c r="J128" s="11"/>
      <c r="K128" s="246"/>
      <c r="L128" s="248"/>
      <c r="N128" s="248"/>
      <c r="P128" s="248"/>
      <c r="Q128" s="244"/>
    </row>
    <row r="129" spans="1:17" hidden="1" outlineLevel="1">
      <c r="A129" s="243"/>
      <c r="B129" s="244"/>
      <c r="C129" s="273"/>
      <c r="D129" s="244"/>
      <c r="E129" s="14"/>
      <c r="F129" s="2"/>
      <c r="G129" s="14"/>
      <c r="H129" s="2"/>
      <c r="I129" s="14"/>
      <c r="J129" s="2"/>
      <c r="K129" s="246"/>
      <c r="L129" s="244"/>
    </row>
    <row r="130" spans="1:17" hidden="1" outlineLevel="1">
      <c r="A130" s="243" t="s">
        <v>171</v>
      </c>
      <c r="B130" s="244"/>
      <c r="C130" s="273" t="s">
        <v>8</v>
      </c>
      <c r="D130" s="249"/>
      <c r="E130" s="2"/>
      <c r="F130" s="4" t="s">
        <v>292</v>
      </c>
      <c r="G130" s="2"/>
      <c r="H130" s="4" t="s">
        <v>292</v>
      </c>
      <c r="I130" s="2"/>
      <c r="J130" s="4" t="s">
        <v>484</v>
      </c>
      <c r="K130" s="244"/>
      <c r="L130" s="217" t="s">
        <v>292</v>
      </c>
      <c r="N130" s="217" t="s">
        <v>292</v>
      </c>
      <c r="P130" s="217" t="s">
        <v>292</v>
      </c>
      <c r="Q130" s="244"/>
    </row>
    <row r="131" spans="1:17" s="244" customFormat="1" hidden="1" outlineLevel="1">
      <c r="A131" s="243" t="s">
        <v>2</v>
      </c>
      <c r="C131" s="274" t="s">
        <v>170</v>
      </c>
      <c r="D131" s="274"/>
      <c r="E131" s="42"/>
      <c r="F131" s="43"/>
      <c r="G131" s="42"/>
      <c r="H131" s="43"/>
      <c r="I131" s="42"/>
      <c r="J131" s="43"/>
      <c r="K131" s="274"/>
      <c r="L131" s="275"/>
      <c r="N131" s="275"/>
      <c r="P131" s="275"/>
    </row>
    <row r="132" spans="1:17" hidden="1" outlineLevel="1">
      <c r="A132" s="243" t="s">
        <v>415</v>
      </c>
      <c r="B132" s="244"/>
      <c r="C132" s="249" t="s">
        <v>541</v>
      </c>
      <c r="D132" s="249"/>
      <c r="E132" s="2"/>
      <c r="F132" s="4" t="s">
        <v>292</v>
      </c>
      <c r="G132" s="2"/>
      <c r="H132" s="4" t="s">
        <v>292</v>
      </c>
      <c r="I132" s="2"/>
      <c r="J132" s="4" t="s">
        <v>292</v>
      </c>
      <c r="K132" s="244"/>
      <c r="L132" s="217" t="s">
        <v>292</v>
      </c>
      <c r="N132" s="217" t="s">
        <v>292</v>
      </c>
      <c r="P132" s="217" t="s">
        <v>292</v>
      </c>
      <c r="Q132" s="244"/>
    </row>
    <row r="133" spans="1:17" hidden="1" outlineLevel="1">
      <c r="A133" s="243" t="s">
        <v>223</v>
      </c>
      <c r="B133" s="244"/>
      <c r="C133" s="249" t="s">
        <v>9</v>
      </c>
      <c r="D133" s="249"/>
      <c r="E133" s="2"/>
      <c r="F133" s="4" t="s">
        <v>292</v>
      </c>
      <c r="G133" s="2"/>
      <c r="H133" s="4" t="s">
        <v>292</v>
      </c>
      <c r="I133" s="2"/>
      <c r="J133" s="4" t="s">
        <v>292</v>
      </c>
      <c r="K133" s="244"/>
      <c r="L133" s="217" t="s">
        <v>292</v>
      </c>
      <c r="N133" s="217" t="s">
        <v>292</v>
      </c>
      <c r="P133" s="217" t="s">
        <v>292</v>
      </c>
      <c r="Q133" s="244"/>
    </row>
    <row r="134" spans="1:17" hidden="1" outlineLevel="1">
      <c r="A134" s="243" t="s">
        <v>224</v>
      </c>
      <c r="B134" s="244"/>
      <c r="C134" s="249" t="s">
        <v>296</v>
      </c>
      <c r="D134" s="249"/>
      <c r="E134" s="2"/>
      <c r="F134" s="4" t="s">
        <v>292</v>
      </c>
      <c r="G134" s="2"/>
      <c r="H134" s="4" t="s">
        <v>292</v>
      </c>
      <c r="I134" s="2"/>
      <c r="J134" s="4" t="s">
        <v>484</v>
      </c>
      <c r="K134" s="244"/>
      <c r="L134" s="217" t="s">
        <v>292</v>
      </c>
      <c r="N134" s="217" t="s">
        <v>292</v>
      </c>
      <c r="P134" s="217" t="s">
        <v>292</v>
      </c>
      <c r="Q134" s="244"/>
    </row>
    <row r="135" spans="1:17" s="244" customFormat="1" collapsed="1">
      <c r="A135" s="243" t="s">
        <v>2</v>
      </c>
      <c r="C135" s="247" t="s">
        <v>542</v>
      </c>
      <c r="D135" s="256"/>
      <c r="E135" s="2"/>
      <c r="F135" s="2"/>
      <c r="G135" s="2"/>
      <c r="H135" s="2"/>
      <c r="I135" s="2"/>
      <c r="J135" s="2"/>
    </row>
    <row r="136" spans="1:17" hidden="1" outlineLevel="1">
      <c r="A136" s="243" t="s">
        <v>543</v>
      </c>
      <c r="B136" s="244"/>
      <c r="C136" s="244" t="s">
        <v>367</v>
      </c>
      <c r="D136" s="244"/>
      <c r="E136" s="14"/>
      <c r="F136" s="37"/>
      <c r="G136" s="14"/>
      <c r="H136" s="37"/>
      <c r="I136" s="14"/>
      <c r="J136" s="37"/>
      <c r="K136" s="246"/>
      <c r="L136" s="237"/>
      <c r="N136" s="237"/>
      <c r="P136" s="237"/>
      <c r="Q136" s="244"/>
    </row>
    <row r="137" spans="1:17" hidden="1" outlineLevel="1">
      <c r="A137" s="243" t="s">
        <v>581</v>
      </c>
      <c r="B137" s="244"/>
      <c r="C137" s="244" t="s">
        <v>129</v>
      </c>
      <c r="D137" s="244"/>
      <c r="E137" s="14"/>
      <c r="F137" s="37"/>
      <c r="G137" s="14"/>
      <c r="H137" s="37"/>
      <c r="I137" s="14"/>
      <c r="J137" s="37"/>
      <c r="K137" s="246"/>
      <c r="L137" s="237"/>
      <c r="N137" s="237"/>
      <c r="P137" s="237"/>
      <c r="Q137" s="244"/>
    </row>
    <row r="138" spans="1:17" hidden="1" outlineLevel="1">
      <c r="A138" s="243" t="s">
        <v>225</v>
      </c>
      <c r="B138" s="244"/>
      <c r="C138" s="244" t="s">
        <v>297</v>
      </c>
      <c r="D138" s="244"/>
      <c r="E138" s="14"/>
      <c r="F138" s="37"/>
      <c r="G138" s="14"/>
      <c r="H138" s="37"/>
      <c r="I138" s="14"/>
      <c r="J138" s="37"/>
      <c r="K138" s="246"/>
      <c r="L138" s="237"/>
      <c r="N138" s="237"/>
      <c r="P138" s="237"/>
      <c r="Q138" s="244"/>
    </row>
    <row r="140" spans="1:17" s="242" customFormat="1">
      <c r="A140" s="239" t="s">
        <v>52</v>
      </c>
      <c r="B140" s="240"/>
      <c r="C140" s="240" t="str">
        <f>"Axiom Query - " &amp; A140</f>
        <v>Axiom Query - [AQ2]</v>
      </c>
      <c r="D140" s="240"/>
      <c r="E140" s="57"/>
      <c r="F140" s="24"/>
      <c r="G140" s="57"/>
      <c r="H140" s="24"/>
      <c r="I140" s="57"/>
      <c r="J140" s="24"/>
      <c r="K140" s="241"/>
      <c r="L140" s="240"/>
      <c r="M140" s="240"/>
      <c r="N140" s="240"/>
      <c r="O140" s="240"/>
      <c r="P140" s="240"/>
      <c r="Q140" s="240"/>
    </row>
    <row r="141" spans="1:17">
      <c r="A141" s="243" t="s">
        <v>491</v>
      </c>
      <c r="B141" s="244"/>
      <c r="C141" s="244" t="s">
        <v>125</v>
      </c>
      <c r="D141" s="244"/>
      <c r="E141" s="33"/>
      <c r="F141" s="4"/>
      <c r="G141" s="33"/>
      <c r="H141" s="4"/>
      <c r="I141" s="33"/>
      <c r="J141" s="4"/>
      <c r="K141" s="226"/>
      <c r="L141" s="217" t="s">
        <v>521</v>
      </c>
      <c r="M141" s="244"/>
      <c r="N141" s="217"/>
      <c r="O141" s="244"/>
      <c r="P141" s="217"/>
      <c r="Q141" s="244"/>
    </row>
    <row r="142" spans="1:17">
      <c r="A142" s="243" t="s">
        <v>572</v>
      </c>
      <c r="B142" s="244"/>
      <c r="C142" s="245" t="s">
        <v>215</v>
      </c>
      <c r="D142" s="245"/>
      <c r="E142" s="14"/>
      <c r="F142" s="4" t="s">
        <v>484</v>
      </c>
      <c r="G142" s="14"/>
      <c r="H142" s="4" t="s">
        <v>484</v>
      </c>
      <c r="I142" s="14"/>
      <c r="J142" s="4" t="s">
        <v>484</v>
      </c>
      <c r="K142" s="246"/>
      <c r="L142" s="217" t="s">
        <v>292</v>
      </c>
      <c r="N142" s="217" t="s">
        <v>484</v>
      </c>
      <c r="P142" s="217" t="s">
        <v>484</v>
      </c>
      <c r="Q142" s="244"/>
    </row>
    <row r="143" spans="1:17">
      <c r="A143" s="243"/>
      <c r="B143" s="244"/>
      <c r="C143" s="247" t="s">
        <v>332</v>
      </c>
      <c r="D143" s="245"/>
      <c r="E143" s="14"/>
      <c r="F143" s="2"/>
      <c r="G143" s="14"/>
      <c r="H143" s="2"/>
      <c r="I143" s="14"/>
      <c r="J143" s="2"/>
      <c r="K143" s="246"/>
      <c r="L143" s="244"/>
      <c r="M143" s="244"/>
      <c r="N143" s="244"/>
      <c r="O143" s="244"/>
      <c r="P143" s="244"/>
      <c r="Q143" s="244"/>
    </row>
    <row r="144" spans="1:17" outlineLevel="1">
      <c r="A144" s="243" t="s">
        <v>536</v>
      </c>
      <c r="B144" s="244"/>
      <c r="C144" s="245" t="s">
        <v>44</v>
      </c>
      <c r="D144" s="245"/>
      <c r="E144" s="14"/>
      <c r="F144" s="11"/>
      <c r="G144" s="14"/>
      <c r="H144" s="11"/>
      <c r="I144" s="14"/>
      <c r="J144" s="11"/>
      <c r="K144" s="246"/>
      <c r="L144" s="248" t="str">
        <f>L76</f>
        <v>ACT2020</v>
      </c>
      <c r="M144" s="244"/>
      <c r="N144" s="248"/>
      <c r="O144" s="244"/>
      <c r="P144" s="248"/>
      <c r="Q144" s="244"/>
    </row>
    <row r="145" spans="1:17" outlineLevel="1">
      <c r="A145" s="243" t="s">
        <v>168</v>
      </c>
      <c r="B145" s="244"/>
      <c r="C145" s="249" t="s">
        <v>255</v>
      </c>
      <c r="D145" s="249"/>
      <c r="E145" s="14"/>
      <c r="F145" s="4"/>
      <c r="G145" s="14"/>
      <c r="H145" s="4"/>
      <c r="I145" s="14"/>
      <c r="J145" s="4"/>
      <c r="K145" s="246"/>
      <c r="L145" s="248" t="str">
        <f>L77</f>
        <v>ACCT.BudgetType;ACCT.RptMap;DEPT.RptMap</v>
      </c>
      <c r="M145" s="244"/>
      <c r="N145" s="217"/>
      <c r="O145" s="244"/>
      <c r="P145" s="217"/>
      <c r="Q145" s="244"/>
    </row>
    <row r="146" spans="1:17" outlineLevel="1">
      <c r="A146" s="243" t="s">
        <v>333</v>
      </c>
      <c r="B146" s="244"/>
      <c r="C146" s="249" t="s">
        <v>492</v>
      </c>
      <c r="D146" s="249"/>
      <c r="E146" s="14"/>
      <c r="F146" s="11" t="str">
        <f>IF(F145="","",F145)</f>
        <v/>
      </c>
      <c r="G146" s="14"/>
      <c r="H146" s="11" t="str">
        <f>IF(H145="","",H145)</f>
        <v/>
      </c>
      <c r="I146" s="14"/>
      <c r="J146" s="11" t="str">
        <f>IF(J145="","",J145)</f>
        <v/>
      </c>
      <c r="K146" s="246"/>
      <c r="L146" s="248" t="str">
        <f>IF(L145="","",L145)</f>
        <v>ACCT.BudgetType;ACCT.RptMap;DEPT.RptMap</v>
      </c>
      <c r="M146" s="244"/>
      <c r="N146" s="248" t="str">
        <f>IF(N145="","",N145)</f>
        <v/>
      </c>
      <c r="O146" s="244"/>
      <c r="P146" s="248" t="str">
        <f>IF(P145="","",P145)</f>
        <v/>
      </c>
      <c r="Q146" s="244"/>
    </row>
    <row r="147" spans="1:17" outlineLevel="1">
      <c r="A147" s="243" t="s">
        <v>293</v>
      </c>
      <c r="B147" s="244"/>
      <c r="C147" s="249" t="s">
        <v>447</v>
      </c>
      <c r="D147" s="249"/>
      <c r="E147" s="14"/>
      <c r="F147" s="4"/>
      <c r="G147" s="14"/>
      <c r="H147" s="4"/>
      <c r="I147" s="14"/>
      <c r="J147" s="4"/>
      <c r="K147" s="246"/>
      <c r="L147" s="217"/>
      <c r="M147" s="244"/>
      <c r="N147" s="217"/>
      <c r="O147" s="244"/>
      <c r="P147" s="217"/>
      <c r="Q147" s="244"/>
    </row>
    <row r="148" spans="1:17" outlineLevel="1">
      <c r="A148" s="243"/>
      <c r="B148" s="244"/>
      <c r="C148" s="247" t="s">
        <v>364</v>
      </c>
      <c r="D148" s="249"/>
      <c r="E148" s="14"/>
      <c r="F148" s="2"/>
      <c r="G148" s="14"/>
      <c r="H148" s="2"/>
      <c r="I148" s="14"/>
      <c r="J148" s="2"/>
      <c r="K148" s="246"/>
      <c r="L148" s="244"/>
      <c r="M148" s="244"/>
      <c r="N148" s="244"/>
      <c r="O148" s="244"/>
      <c r="P148" s="244"/>
      <c r="Q148" s="244"/>
    </row>
    <row r="149" spans="1:17" s="224" customFormat="1" ht="20.399999999999999" outlineLevel="2">
      <c r="A149" s="250" t="s">
        <v>82</v>
      </c>
      <c r="B149" s="251"/>
      <c r="C149" s="249" t="s">
        <v>408</v>
      </c>
      <c r="D149" s="249"/>
      <c r="E149" s="58"/>
      <c r="F149" s="44"/>
      <c r="G149" s="58"/>
      <c r="H149" s="44"/>
      <c r="I149" s="58"/>
      <c r="J149" s="44"/>
      <c r="K149" s="252"/>
      <c r="L149" s="253" t="s">
        <v>531</v>
      </c>
      <c r="M149" s="254"/>
      <c r="N149" s="253"/>
      <c r="O149" s="254"/>
      <c r="P149" s="253"/>
      <c r="Q149" s="255"/>
    </row>
    <row r="150" spans="1:17" outlineLevel="2">
      <c r="A150" s="243" t="s">
        <v>45</v>
      </c>
      <c r="B150" s="244"/>
      <c r="C150" s="249" t="s">
        <v>334</v>
      </c>
      <c r="D150" s="249"/>
      <c r="E150" s="14"/>
      <c r="F150" s="44"/>
      <c r="G150" s="14"/>
      <c r="H150" s="44"/>
      <c r="I150" s="14"/>
      <c r="J150" s="44"/>
      <c r="K150" s="246"/>
      <c r="L150" s="253"/>
      <c r="M150" s="244"/>
      <c r="N150" s="253"/>
      <c r="O150" s="244"/>
      <c r="P150" s="253"/>
      <c r="Q150" s="244"/>
    </row>
    <row r="151" spans="1:17" outlineLevel="2">
      <c r="A151" s="243" t="s">
        <v>46</v>
      </c>
      <c r="B151" s="244"/>
      <c r="C151" s="249" t="s">
        <v>256</v>
      </c>
      <c r="D151" s="249"/>
      <c r="E151" s="14"/>
      <c r="F151" s="44"/>
      <c r="G151" s="14"/>
      <c r="H151" s="44"/>
      <c r="I151" s="14"/>
      <c r="J151" s="44"/>
      <c r="K151" s="246"/>
      <c r="L151" s="253"/>
      <c r="M151" s="244"/>
      <c r="N151" s="253"/>
      <c r="O151" s="244"/>
      <c r="P151" s="253"/>
      <c r="Q151" s="244"/>
    </row>
    <row r="152" spans="1:17" outlineLevel="2">
      <c r="A152" s="243" t="s">
        <v>537</v>
      </c>
      <c r="B152" s="244"/>
      <c r="C152" s="249" t="s">
        <v>216</v>
      </c>
      <c r="D152" s="249"/>
      <c r="E152" s="14"/>
      <c r="F152" s="44"/>
      <c r="G152" s="14"/>
      <c r="H152" s="44"/>
      <c r="I152" s="14"/>
      <c r="J152" s="44"/>
      <c r="K152" s="246"/>
      <c r="L152" s="253"/>
      <c r="M152" s="244"/>
      <c r="N152" s="253"/>
      <c r="O152" s="244"/>
      <c r="P152" s="253"/>
      <c r="Q152" s="244"/>
    </row>
    <row r="153" spans="1:17" outlineLevel="1">
      <c r="A153" s="243" t="s">
        <v>126</v>
      </c>
      <c r="B153" s="244"/>
      <c r="C153" s="244" t="s">
        <v>448</v>
      </c>
      <c r="D153" s="244"/>
      <c r="E153" s="14"/>
      <c r="F153" s="4" t="s">
        <v>484</v>
      </c>
      <c r="G153" s="14"/>
      <c r="H153" s="4" t="s">
        <v>484</v>
      </c>
      <c r="I153" s="14"/>
      <c r="J153" s="4" t="s">
        <v>484</v>
      </c>
      <c r="K153" s="246"/>
      <c r="L153" s="217" t="s">
        <v>484</v>
      </c>
      <c r="N153" s="217" t="s">
        <v>484</v>
      </c>
      <c r="P153" s="217" t="s">
        <v>484</v>
      </c>
      <c r="Q153" s="244"/>
    </row>
    <row r="154" spans="1:17" outlineLevel="1">
      <c r="A154" s="243" t="s">
        <v>47</v>
      </c>
      <c r="B154" s="244"/>
      <c r="C154" s="244" t="s">
        <v>7</v>
      </c>
      <c r="D154" s="249"/>
      <c r="E154" s="2"/>
      <c r="F154" s="4"/>
      <c r="G154" s="2"/>
      <c r="H154" s="4"/>
      <c r="I154" s="2"/>
      <c r="J154" s="4"/>
      <c r="K154" s="244"/>
      <c r="L154" s="217"/>
      <c r="M154" s="244"/>
      <c r="N154" s="217"/>
      <c r="O154" s="244"/>
      <c r="P154" s="217"/>
      <c r="Q154" s="244"/>
    </row>
    <row r="155" spans="1:17" outlineLevel="1">
      <c r="A155" s="243" t="s">
        <v>48</v>
      </c>
      <c r="B155" s="244"/>
      <c r="C155" s="244" t="s">
        <v>83</v>
      </c>
      <c r="D155" s="249"/>
      <c r="E155" s="2"/>
      <c r="F155" s="4"/>
      <c r="G155" s="2"/>
      <c r="H155" s="4"/>
      <c r="I155" s="2"/>
      <c r="J155" s="4"/>
      <c r="K155" s="244"/>
      <c r="L155" s="217"/>
      <c r="M155" s="244"/>
      <c r="N155" s="217"/>
      <c r="O155" s="244"/>
      <c r="P155" s="217"/>
      <c r="Q155" s="244"/>
    </row>
    <row r="156" spans="1:17" outlineLevel="1">
      <c r="A156" s="243" t="s">
        <v>112</v>
      </c>
      <c r="B156" s="244"/>
      <c r="C156" s="244" t="s">
        <v>439</v>
      </c>
      <c r="D156" s="249"/>
      <c r="E156" s="2"/>
      <c r="F156" s="4"/>
      <c r="G156" s="2"/>
      <c r="H156" s="4"/>
      <c r="I156" s="2"/>
      <c r="J156" s="4"/>
      <c r="K156" s="244"/>
      <c r="L156" s="217"/>
      <c r="M156" s="244"/>
      <c r="N156" s="217"/>
      <c r="O156" s="244"/>
      <c r="P156" s="217"/>
      <c r="Q156" s="244"/>
    </row>
    <row r="157" spans="1:17" outlineLevel="1">
      <c r="A157" s="243" t="s">
        <v>284</v>
      </c>
      <c r="B157" s="244"/>
      <c r="C157" s="244" t="s">
        <v>287</v>
      </c>
      <c r="D157" s="249"/>
      <c r="E157" s="2"/>
      <c r="F157" s="4"/>
      <c r="G157" s="2"/>
      <c r="H157" s="4"/>
      <c r="I157" s="2"/>
      <c r="J157" s="4"/>
      <c r="K157" s="244"/>
      <c r="L157" s="217"/>
      <c r="M157" s="244"/>
      <c r="N157" s="217"/>
      <c r="O157" s="244"/>
      <c r="P157" s="217"/>
      <c r="Q157" s="244"/>
    </row>
    <row r="158" spans="1:17" collapsed="1">
      <c r="A158" s="243"/>
      <c r="B158" s="244"/>
      <c r="C158" s="247" t="s">
        <v>257</v>
      </c>
      <c r="D158" s="249"/>
      <c r="E158" s="2"/>
      <c r="F158" s="2"/>
      <c r="G158" s="2"/>
      <c r="H158" s="2"/>
      <c r="I158" s="2"/>
      <c r="J158" s="2"/>
      <c r="K158" s="244"/>
      <c r="L158" s="244"/>
      <c r="M158" s="244"/>
      <c r="N158" s="244"/>
      <c r="O158" s="244"/>
      <c r="P158" s="244"/>
      <c r="Q158" s="244"/>
    </row>
    <row r="159" spans="1:17" hidden="1" outlineLevel="1">
      <c r="A159" s="243" t="s">
        <v>409</v>
      </c>
      <c r="B159" s="244"/>
      <c r="C159" s="249" t="s">
        <v>217</v>
      </c>
      <c r="D159" s="244"/>
      <c r="E159" s="14"/>
      <c r="F159" s="4" t="s">
        <v>615</v>
      </c>
      <c r="G159" s="14"/>
      <c r="H159" s="4" t="s">
        <v>615</v>
      </c>
      <c r="I159" s="14"/>
      <c r="J159" s="4" t="s">
        <v>615</v>
      </c>
      <c r="K159" s="246"/>
      <c r="L159" s="217" t="s">
        <v>615</v>
      </c>
      <c r="N159" s="217" t="s">
        <v>615</v>
      </c>
      <c r="P159" s="217" t="s">
        <v>615</v>
      </c>
      <c r="Q159" s="244"/>
    </row>
    <row r="160" spans="1:17" hidden="1" outlineLevel="1">
      <c r="A160" s="243" t="s">
        <v>218</v>
      </c>
      <c r="B160" s="244"/>
      <c r="C160" s="249" t="s">
        <v>573</v>
      </c>
      <c r="D160" s="244"/>
      <c r="E160" s="14"/>
      <c r="F160" s="4" t="s">
        <v>484</v>
      </c>
      <c r="G160" s="14"/>
      <c r="H160" s="4" t="s">
        <v>484</v>
      </c>
      <c r="I160" s="14"/>
      <c r="J160" s="4" t="s">
        <v>484</v>
      </c>
      <c r="K160" s="246"/>
      <c r="L160" s="217" t="s">
        <v>484</v>
      </c>
      <c r="N160" s="217" t="s">
        <v>484</v>
      </c>
      <c r="P160" s="217" t="s">
        <v>484</v>
      </c>
      <c r="Q160" s="244"/>
    </row>
    <row r="161" spans="1:17" hidden="1" outlineLevel="1">
      <c r="A161" s="243" t="s">
        <v>294</v>
      </c>
      <c r="B161" s="244"/>
      <c r="C161" s="249" t="s">
        <v>493</v>
      </c>
      <c r="D161" s="244"/>
      <c r="E161" s="14"/>
      <c r="F161" s="4" t="s">
        <v>484</v>
      </c>
      <c r="G161" s="14"/>
      <c r="H161" s="4" t="s">
        <v>484</v>
      </c>
      <c r="I161" s="14"/>
      <c r="J161" s="4" t="s">
        <v>484</v>
      </c>
      <c r="K161" s="246"/>
      <c r="L161" s="217" t="s">
        <v>484</v>
      </c>
      <c r="N161" s="217" t="s">
        <v>484</v>
      </c>
      <c r="P161" s="217" t="s">
        <v>484</v>
      </c>
      <c r="Q161" s="244"/>
    </row>
    <row r="162" spans="1:17" hidden="1" outlineLevel="1">
      <c r="A162" s="243" t="s">
        <v>410</v>
      </c>
      <c r="B162" s="244"/>
      <c r="C162" s="249" t="s">
        <v>616</v>
      </c>
      <c r="D162" s="244"/>
      <c r="E162" s="14"/>
      <c r="F162" s="4" t="s">
        <v>292</v>
      </c>
      <c r="G162" s="14"/>
      <c r="H162" s="4" t="s">
        <v>292</v>
      </c>
      <c r="I162" s="14"/>
      <c r="J162" s="4" t="s">
        <v>292</v>
      </c>
      <c r="K162" s="246"/>
      <c r="L162" s="217" t="s">
        <v>484</v>
      </c>
      <c r="N162" s="217" t="s">
        <v>292</v>
      </c>
      <c r="P162" s="217" t="s">
        <v>292</v>
      </c>
      <c r="Q162" s="244"/>
    </row>
    <row r="163" spans="1:17" s="244" customFormat="1" collapsed="1">
      <c r="A163" s="243"/>
      <c r="C163" s="247" t="s">
        <v>295</v>
      </c>
      <c r="D163" s="256"/>
      <c r="E163" s="2"/>
      <c r="F163" s="2"/>
      <c r="G163" s="2"/>
      <c r="H163" s="2"/>
      <c r="I163" s="2"/>
      <c r="J163" s="2"/>
    </row>
    <row r="164" spans="1:17" s="244" customFormat="1" hidden="1" outlineLevel="1">
      <c r="A164" s="243"/>
      <c r="C164" s="257" t="s">
        <v>127</v>
      </c>
      <c r="D164" s="256"/>
      <c r="E164" s="2"/>
      <c r="F164" s="2"/>
      <c r="G164" s="2"/>
      <c r="H164" s="2"/>
      <c r="I164" s="2"/>
      <c r="J164" s="2"/>
    </row>
    <row r="165" spans="1:17" hidden="1" outlineLevel="2">
      <c r="A165" s="243" t="s">
        <v>258</v>
      </c>
      <c r="B165" s="244"/>
      <c r="C165" s="258" t="s">
        <v>219</v>
      </c>
      <c r="D165" s="249"/>
      <c r="E165" s="2"/>
      <c r="F165" s="12" t="s">
        <v>84</v>
      </c>
      <c r="G165" s="2"/>
      <c r="H165" s="12" t="s">
        <v>416</v>
      </c>
      <c r="I165" s="2"/>
      <c r="J165" s="12" t="s">
        <v>416</v>
      </c>
      <c r="K165" s="244"/>
      <c r="L165" s="231" t="s">
        <v>416</v>
      </c>
      <c r="M165" s="259"/>
      <c r="N165" s="231" t="s">
        <v>84</v>
      </c>
      <c r="O165" s="259"/>
      <c r="P165" s="231" t="s">
        <v>84</v>
      </c>
      <c r="Q165" s="259"/>
    </row>
    <row r="166" spans="1:17" hidden="1" outlineLevel="2">
      <c r="A166" s="243" t="s">
        <v>49</v>
      </c>
      <c r="B166" s="244"/>
      <c r="C166" s="258" t="s">
        <v>169</v>
      </c>
      <c r="D166" s="249"/>
      <c r="E166" s="2"/>
      <c r="F166" s="11" t="s">
        <v>494</v>
      </c>
      <c r="G166" s="2"/>
      <c r="H166" s="11" t="s">
        <v>10</v>
      </c>
      <c r="I166" s="2"/>
      <c r="J166" s="11" t="s">
        <v>10</v>
      </c>
      <c r="K166" s="244"/>
      <c r="L166" s="248" t="s">
        <v>494</v>
      </c>
      <c r="M166" s="244"/>
      <c r="N166" s="248" t="s">
        <v>494</v>
      </c>
      <c r="O166" s="244"/>
      <c r="P166" s="248" t="s">
        <v>494</v>
      </c>
      <c r="Q166" s="244"/>
    </row>
    <row r="167" spans="1:17" hidden="1" outlineLevel="2">
      <c r="A167" s="243" t="s">
        <v>411</v>
      </c>
      <c r="B167" s="244"/>
      <c r="C167" s="258" t="s">
        <v>617</v>
      </c>
      <c r="D167" s="249"/>
      <c r="E167" s="2"/>
      <c r="F167" s="4"/>
      <c r="G167" s="2"/>
      <c r="H167" s="4"/>
      <c r="I167" s="2"/>
      <c r="J167" s="4"/>
      <c r="K167" s="244"/>
      <c r="L167" s="217"/>
      <c r="M167" s="244"/>
      <c r="N167" s="217"/>
      <c r="O167" s="244"/>
      <c r="P167" s="217"/>
      <c r="Q167" s="244"/>
    </row>
    <row r="168" spans="1:17" hidden="1" outlineLevel="1">
      <c r="A168" s="243"/>
      <c r="B168" s="244"/>
      <c r="C168" s="257" t="s">
        <v>335</v>
      </c>
      <c r="D168" s="249"/>
      <c r="E168" s="2"/>
      <c r="F168" s="2"/>
      <c r="G168" s="2"/>
      <c r="H168" s="2"/>
      <c r="I168" s="2"/>
      <c r="J168" s="2"/>
      <c r="K168" s="244"/>
      <c r="L168" s="244"/>
      <c r="M168" s="244"/>
      <c r="N168" s="244"/>
      <c r="O168" s="244"/>
      <c r="P168" s="244"/>
      <c r="Q168" s="244"/>
    </row>
    <row r="169" spans="1:17" s="265" customFormat="1" hidden="1" outlineLevel="2">
      <c r="A169" s="260" t="s">
        <v>574</v>
      </c>
      <c r="B169" s="261"/>
      <c r="C169" s="258" t="s">
        <v>259</v>
      </c>
      <c r="D169" s="262"/>
      <c r="E169" s="8"/>
      <c r="F169" s="46" t="s">
        <v>575</v>
      </c>
      <c r="G169" s="8"/>
      <c r="H169" s="46" t="s">
        <v>263</v>
      </c>
      <c r="I169" s="8"/>
      <c r="J169" s="46" t="s">
        <v>263</v>
      </c>
      <c r="K169" s="261"/>
      <c r="L169" s="263" t="s">
        <v>263</v>
      </c>
      <c r="M169" s="264"/>
      <c r="N169" s="263" t="s">
        <v>575</v>
      </c>
      <c r="O169" s="264"/>
      <c r="P169" s="263" t="s">
        <v>575</v>
      </c>
    </row>
    <row r="170" spans="1:17" s="261" customFormat="1" hidden="1" outlineLevel="2">
      <c r="A170" s="260" t="s">
        <v>2</v>
      </c>
      <c r="C170" s="266" t="s">
        <v>170</v>
      </c>
      <c r="D170" s="266"/>
      <c r="E170" s="27"/>
      <c r="F170" s="25"/>
      <c r="G170" s="27"/>
      <c r="H170" s="25"/>
      <c r="I170" s="27"/>
      <c r="J170" s="25"/>
      <c r="K170" s="266"/>
      <c r="L170" s="267"/>
      <c r="N170" s="267"/>
      <c r="P170" s="267"/>
    </row>
    <row r="171" spans="1:17" s="265" customFormat="1" hidden="1" outlineLevel="2">
      <c r="A171" s="260" t="s">
        <v>412</v>
      </c>
      <c r="B171" s="261"/>
      <c r="C171" s="258" t="s">
        <v>576</v>
      </c>
      <c r="D171" s="262"/>
      <c r="E171" s="8"/>
      <c r="F171" s="26"/>
      <c r="G171" s="8"/>
      <c r="H171" s="26"/>
      <c r="I171" s="8"/>
      <c r="J171" s="26"/>
      <c r="K171" s="261"/>
      <c r="L171" s="268"/>
      <c r="M171" s="261"/>
      <c r="N171" s="268"/>
      <c r="O171" s="261"/>
      <c r="P171" s="268"/>
    </row>
    <row r="172" spans="1:17" s="261" customFormat="1" hidden="1" outlineLevel="2">
      <c r="A172" s="260" t="s">
        <v>2</v>
      </c>
      <c r="C172" s="266" t="s">
        <v>538</v>
      </c>
      <c r="D172" s="266"/>
      <c r="E172" s="27"/>
      <c r="F172" s="25"/>
      <c r="G172" s="27"/>
      <c r="H172" s="25"/>
      <c r="I172" s="27"/>
      <c r="J172" s="25"/>
      <c r="K172" s="266"/>
      <c r="L172" s="267"/>
      <c r="N172" s="267"/>
      <c r="P172" s="267"/>
    </row>
    <row r="173" spans="1:17" s="261" customFormat="1" hidden="1" outlineLevel="2">
      <c r="A173" s="260" t="s">
        <v>2</v>
      </c>
      <c r="C173" s="258" t="s">
        <v>336</v>
      </c>
      <c r="D173" s="266"/>
      <c r="E173" s="27"/>
      <c r="F173" s="25"/>
      <c r="G173" s="27"/>
      <c r="H173" s="25"/>
      <c r="I173" s="27"/>
      <c r="J173" s="25"/>
      <c r="K173" s="266"/>
      <c r="L173" s="267"/>
      <c r="N173" s="267"/>
      <c r="P173" s="267"/>
    </row>
    <row r="174" spans="1:17" s="265" customFormat="1" hidden="1" outlineLevel="2">
      <c r="A174" s="260" t="s">
        <v>413</v>
      </c>
      <c r="B174" s="261"/>
      <c r="C174" s="269" t="s">
        <v>577</v>
      </c>
      <c r="D174" s="262"/>
      <c r="E174" s="8"/>
      <c r="F174" s="47"/>
      <c r="G174" s="8"/>
      <c r="H174" s="47"/>
      <c r="I174" s="8"/>
      <c r="J174" s="47"/>
      <c r="K174" s="261"/>
      <c r="L174" s="270"/>
      <c r="M174" s="261"/>
      <c r="N174" s="270"/>
      <c r="O174" s="261"/>
      <c r="P174" s="270"/>
    </row>
    <row r="175" spans="1:17" s="265" customFormat="1" hidden="1" outlineLevel="2">
      <c r="A175" s="260" t="s">
        <v>618</v>
      </c>
      <c r="B175" s="261"/>
      <c r="C175" s="269" t="s">
        <v>495</v>
      </c>
      <c r="D175" s="262"/>
      <c r="E175" s="8"/>
      <c r="F175" s="47"/>
      <c r="G175" s="8"/>
      <c r="H175" s="47"/>
      <c r="I175" s="8"/>
      <c r="J175" s="47"/>
      <c r="K175" s="261"/>
      <c r="L175" s="270"/>
      <c r="M175" s="261"/>
      <c r="N175" s="270"/>
      <c r="O175" s="261"/>
      <c r="P175" s="270"/>
    </row>
    <row r="176" spans="1:17" s="265" customFormat="1" hidden="1" outlineLevel="2">
      <c r="A176" s="260" t="s">
        <v>539</v>
      </c>
      <c r="B176" s="261"/>
      <c r="C176" s="269" t="s">
        <v>496</v>
      </c>
      <c r="D176" s="262"/>
      <c r="E176" s="8"/>
      <c r="F176" s="47"/>
      <c r="G176" s="8"/>
      <c r="H176" s="47"/>
      <c r="I176" s="8"/>
      <c r="J176" s="47"/>
      <c r="K176" s="261"/>
      <c r="L176" s="270"/>
      <c r="M176" s="261"/>
      <c r="N176" s="270"/>
      <c r="O176" s="261"/>
      <c r="P176" s="270"/>
    </row>
    <row r="177" spans="1:17" s="265" customFormat="1" hidden="1" outlineLevel="2">
      <c r="A177" s="260" t="s">
        <v>220</v>
      </c>
      <c r="B177" s="261"/>
      <c r="C177" s="269" t="s">
        <v>619</v>
      </c>
      <c r="D177" s="262"/>
      <c r="E177" s="8"/>
      <c r="F177" s="47"/>
      <c r="G177" s="8"/>
      <c r="H177" s="47"/>
      <c r="I177" s="8"/>
      <c r="J177" s="47"/>
      <c r="K177" s="261"/>
      <c r="L177" s="270"/>
      <c r="M177" s="261"/>
      <c r="N177" s="270"/>
      <c r="O177" s="261"/>
      <c r="P177" s="270"/>
    </row>
    <row r="178" spans="1:17" s="261" customFormat="1" hidden="1" outlineLevel="2">
      <c r="A178" s="260" t="s">
        <v>2</v>
      </c>
      <c r="C178" s="271"/>
      <c r="D178" s="271"/>
      <c r="E178" s="8"/>
      <c r="F178" s="8"/>
      <c r="G178" s="8"/>
      <c r="H178" s="8"/>
      <c r="I178" s="8"/>
      <c r="J178" s="8"/>
    </row>
    <row r="179" spans="1:17" s="265" customFormat="1" hidden="1" outlineLevel="2">
      <c r="A179" s="260" t="s">
        <v>85</v>
      </c>
      <c r="B179" s="261"/>
      <c r="C179" s="272" t="s">
        <v>128</v>
      </c>
      <c r="D179" s="262"/>
      <c r="E179" s="8"/>
      <c r="F179" s="26"/>
      <c r="G179" s="8"/>
      <c r="H179" s="26"/>
      <c r="I179" s="8"/>
      <c r="J179" s="26"/>
      <c r="K179" s="261"/>
      <c r="L179" s="268"/>
      <c r="M179" s="261"/>
      <c r="N179" s="268"/>
      <c r="O179" s="261"/>
      <c r="P179" s="268"/>
    </row>
    <row r="180" spans="1:17" collapsed="1">
      <c r="A180" s="243"/>
      <c r="B180" s="244"/>
      <c r="C180" s="247" t="s">
        <v>337</v>
      </c>
      <c r="D180" s="249"/>
      <c r="E180" s="2"/>
      <c r="F180" s="2"/>
      <c r="G180" s="2"/>
      <c r="H180" s="2"/>
      <c r="I180" s="2"/>
      <c r="J180" s="2"/>
      <c r="K180" s="244"/>
      <c r="L180" s="244"/>
      <c r="M180" s="244"/>
      <c r="N180" s="244"/>
      <c r="O180" s="244"/>
      <c r="P180" s="244"/>
      <c r="Q180" s="244"/>
    </row>
    <row r="181" spans="1:17" hidden="1" outlineLevel="1">
      <c r="A181" s="243"/>
      <c r="B181" s="244"/>
      <c r="C181" s="245" t="s">
        <v>86</v>
      </c>
      <c r="D181" s="249"/>
      <c r="E181" s="2"/>
      <c r="F181" s="2"/>
      <c r="G181" s="2"/>
      <c r="H181" s="2"/>
      <c r="I181" s="2"/>
      <c r="J181" s="2"/>
      <c r="K181" s="244"/>
      <c r="L181" s="244"/>
      <c r="M181" s="244"/>
      <c r="N181" s="244"/>
      <c r="O181" s="244"/>
      <c r="P181" s="244"/>
      <c r="Q181" s="244"/>
    </row>
    <row r="182" spans="1:17" hidden="1" outlineLevel="1">
      <c r="A182" s="243" t="s">
        <v>578</v>
      </c>
      <c r="B182" s="244"/>
      <c r="C182" s="249" t="s">
        <v>260</v>
      </c>
      <c r="D182" s="249"/>
      <c r="E182" s="2"/>
      <c r="F182" s="12" t="s">
        <v>2</v>
      </c>
      <c r="G182" s="2"/>
      <c r="H182" s="12" t="s">
        <v>2</v>
      </c>
      <c r="I182" s="2"/>
      <c r="J182" s="12" t="s">
        <v>2</v>
      </c>
      <c r="K182" s="244"/>
      <c r="L182" s="231" t="s">
        <v>2</v>
      </c>
      <c r="M182" s="259"/>
      <c r="N182" s="231" t="s">
        <v>2</v>
      </c>
      <c r="O182" s="259"/>
      <c r="P182" s="231" t="s">
        <v>2</v>
      </c>
      <c r="Q182" s="259"/>
    </row>
    <row r="183" spans="1:17" hidden="1" outlineLevel="1">
      <c r="A183" s="243" t="s">
        <v>261</v>
      </c>
      <c r="B183" s="244"/>
      <c r="C183" s="249" t="s">
        <v>620</v>
      </c>
      <c r="D183" s="249"/>
      <c r="E183" s="2"/>
      <c r="F183" s="12" t="s">
        <v>2</v>
      </c>
      <c r="G183" s="2"/>
      <c r="H183" s="12" t="s">
        <v>2</v>
      </c>
      <c r="I183" s="2"/>
      <c r="J183" s="12" t="s">
        <v>2</v>
      </c>
      <c r="K183" s="244"/>
      <c r="L183" s="231" t="s">
        <v>2</v>
      </c>
      <c r="M183" s="244"/>
      <c r="N183" s="231" t="s">
        <v>2</v>
      </c>
      <c r="O183" s="244"/>
      <c r="P183" s="231" t="s">
        <v>2</v>
      </c>
      <c r="Q183" s="244"/>
    </row>
    <row r="184" spans="1:17" s="244" customFormat="1" hidden="1" outlineLevel="1">
      <c r="A184" s="243"/>
      <c r="C184" s="245" t="s">
        <v>50</v>
      </c>
      <c r="D184" s="256"/>
      <c r="E184" s="2"/>
      <c r="F184" s="2"/>
      <c r="G184" s="2"/>
      <c r="H184" s="2"/>
      <c r="I184" s="2"/>
      <c r="J184" s="2"/>
    </row>
    <row r="185" spans="1:17" hidden="1" outlineLevel="1">
      <c r="A185" s="243" t="s">
        <v>579</v>
      </c>
      <c r="B185" s="244"/>
      <c r="C185" s="249" t="s">
        <v>221</v>
      </c>
      <c r="D185" s="249"/>
      <c r="E185" s="2"/>
      <c r="F185" s="12" t="s">
        <v>2</v>
      </c>
      <c r="G185" s="2"/>
      <c r="H185" s="12" t="s">
        <v>2</v>
      </c>
      <c r="I185" s="2"/>
      <c r="J185" s="12" t="s">
        <v>2</v>
      </c>
      <c r="K185" s="244"/>
      <c r="L185" s="231" t="s">
        <v>2</v>
      </c>
      <c r="M185" s="259"/>
      <c r="N185" s="231" t="s">
        <v>2</v>
      </c>
      <c r="O185" s="259"/>
      <c r="P185" s="231" t="s">
        <v>2</v>
      </c>
      <c r="Q185" s="259"/>
    </row>
    <row r="186" spans="1:17" s="244" customFormat="1" collapsed="1">
      <c r="A186" s="243"/>
      <c r="C186" s="247" t="s">
        <v>580</v>
      </c>
      <c r="D186" s="256"/>
      <c r="E186" s="2"/>
      <c r="F186" s="2"/>
      <c r="G186" s="2"/>
      <c r="H186" s="2"/>
      <c r="I186" s="2"/>
      <c r="J186" s="2"/>
    </row>
    <row r="187" spans="1:17" hidden="1" outlineLevel="1">
      <c r="A187" s="243" t="s">
        <v>222</v>
      </c>
      <c r="B187" s="244"/>
      <c r="C187" s="273" t="s">
        <v>262</v>
      </c>
      <c r="D187" s="244"/>
      <c r="E187" s="14"/>
      <c r="F187" s="4" t="s">
        <v>292</v>
      </c>
      <c r="G187" s="14"/>
      <c r="H187" s="4" t="s">
        <v>292</v>
      </c>
      <c r="I187" s="14"/>
      <c r="J187" s="4" t="s">
        <v>292</v>
      </c>
      <c r="K187" s="246"/>
      <c r="L187" s="217" t="s">
        <v>292</v>
      </c>
      <c r="N187" s="217" t="s">
        <v>292</v>
      </c>
      <c r="P187" s="217" t="s">
        <v>292</v>
      </c>
      <c r="Q187" s="244"/>
    </row>
    <row r="188" spans="1:17" hidden="1" outlineLevel="1">
      <c r="A188" s="243" t="s">
        <v>540</v>
      </c>
      <c r="B188" s="244"/>
      <c r="C188" s="273" t="s">
        <v>51</v>
      </c>
      <c r="D188" s="244"/>
      <c r="E188" s="14"/>
      <c r="F188" s="4" t="s">
        <v>292</v>
      </c>
      <c r="G188" s="14"/>
      <c r="H188" s="4" t="s">
        <v>292</v>
      </c>
      <c r="I188" s="14"/>
      <c r="J188" s="4" t="s">
        <v>292</v>
      </c>
      <c r="K188" s="246"/>
      <c r="L188" s="217" t="s">
        <v>292</v>
      </c>
      <c r="N188" s="217" t="s">
        <v>292</v>
      </c>
      <c r="P188" s="217" t="s">
        <v>292</v>
      </c>
      <c r="Q188" s="244"/>
    </row>
    <row r="189" spans="1:17" hidden="1" outlineLevel="1">
      <c r="A189" s="243" t="s">
        <v>397</v>
      </c>
      <c r="B189" s="244"/>
      <c r="C189" s="273" t="s">
        <v>399</v>
      </c>
      <c r="D189" s="244"/>
      <c r="E189" s="14"/>
      <c r="F189" s="4"/>
      <c r="G189" s="14"/>
      <c r="H189" s="4"/>
      <c r="I189" s="14"/>
      <c r="J189" s="4"/>
      <c r="K189" s="246"/>
      <c r="L189" s="217"/>
      <c r="N189" s="217"/>
      <c r="P189" s="217"/>
      <c r="Q189" s="244"/>
    </row>
    <row r="190" spans="1:17" hidden="1" outlineLevel="1">
      <c r="A190" s="243" t="s">
        <v>449</v>
      </c>
      <c r="B190" s="244"/>
      <c r="C190" s="273" t="s">
        <v>497</v>
      </c>
      <c r="D190" s="244"/>
      <c r="E190" s="14"/>
      <c r="F190" s="4" t="s">
        <v>484</v>
      </c>
      <c r="G190" s="14"/>
      <c r="H190" s="4" t="s">
        <v>484</v>
      </c>
      <c r="I190" s="14"/>
      <c r="J190" s="4" t="s">
        <v>484</v>
      </c>
      <c r="K190" s="246"/>
      <c r="L190" s="217" t="s">
        <v>484</v>
      </c>
      <c r="N190" s="217" t="s">
        <v>484</v>
      </c>
      <c r="P190" s="217" t="s">
        <v>484</v>
      </c>
      <c r="Q190" s="244"/>
    </row>
    <row r="191" spans="1:17" hidden="1" outlineLevel="1">
      <c r="A191" s="243" t="s">
        <v>450</v>
      </c>
      <c r="B191" s="244"/>
      <c r="C191" s="273" t="s">
        <v>498</v>
      </c>
      <c r="D191" s="244"/>
      <c r="E191" s="14"/>
      <c r="F191" s="4" t="s">
        <v>484</v>
      </c>
      <c r="G191" s="14"/>
      <c r="H191" s="4" t="s">
        <v>484</v>
      </c>
      <c r="I191" s="14"/>
      <c r="J191" s="4" t="s">
        <v>484</v>
      </c>
      <c r="K191" s="246"/>
      <c r="L191" s="217" t="s">
        <v>484</v>
      </c>
      <c r="N191" s="217" t="s">
        <v>484</v>
      </c>
      <c r="P191" s="217" t="s">
        <v>484</v>
      </c>
      <c r="Q191" s="244"/>
    </row>
    <row r="192" spans="1:17" hidden="1" outlineLevel="1">
      <c r="A192" s="243" t="s">
        <v>621</v>
      </c>
      <c r="B192" s="244"/>
      <c r="C192" s="273" t="s">
        <v>414</v>
      </c>
      <c r="D192" s="244"/>
      <c r="E192" s="14"/>
      <c r="F192" s="4" t="s">
        <v>484</v>
      </c>
      <c r="G192" s="14"/>
      <c r="H192" s="4" t="s">
        <v>484</v>
      </c>
      <c r="I192" s="14"/>
      <c r="J192" s="4" t="s">
        <v>484</v>
      </c>
      <c r="K192" s="246"/>
      <c r="L192" s="217" t="s">
        <v>484</v>
      </c>
      <c r="N192" s="217" t="s">
        <v>484</v>
      </c>
      <c r="P192" s="217" t="s">
        <v>484</v>
      </c>
      <c r="Q192" s="244"/>
    </row>
    <row r="193" spans="1:17" hidden="1" outlineLevel="1">
      <c r="A193" s="243" t="s">
        <v>563</v>
      </c>
      <c r="B193" s="244"/>
      <c r="C193" s="273" t="s">
        <v>480</v>
      </c>
      <c r="D193" s="244"/>
      <c r="E193" s="14"/>
      <c r="F193" s="4"/>
      <c r="G193" s="14"/>
      <c r="H193" s="4"/>
      <c r="I193" s="14"/>
      <c r="J193" s="4"/>
      <c r="K193" s="246"/>
      <c r="L193" s="217"/>
      <c r="N193" s="217"/>
      <c r="P193" s="217"/>
      <c r="Q193" s="244"/>
    </row>
    <row r="194" spans="1:17" hidden="1" outlineLevel="1">
      <c r="A194" s="243" t="s">
        <v>162</v>
      </c>
      <c r="B194" s="244"/>
      <c r="C194" s="273" t="s">
        <v>206</v>
      </c>
      <c r="D194" s="244"/>
      <c r="E194" s="14"/>
      <c r="F194" s="4"/>
      <c r="G194" s="14"/>
      <c r="H194" s="4"/>
      <c r="I194" s="14"/>
      <c r="J194" s="4"/>
      <c r="K194" s="246"/>
      <c r="L194" s="217"/>
      <c r="N194" s="217"/>
      <c r="P194" s="217"/>
      <c r="Q194" s="244"/>
    </row>
    <row r="195" spans="1:17" hidden="1" outlineLevel="1">
      <c r="A195" s="243" t="s">
        <v>659</v>
      </c>
      <c r="B195" s="244"/>
      <c r="C195" s="273" t="s">
        <v>660</v>
      </c>
      <c r="D195" s="244"/>
      <c r="E195" s="14"/>
      <c r="F195" s="44"/>
      <c r="G195" s="14"/>
      <c r="H195" s="44"/>
      <c r="I195" s="14"/>
      <c r="J195" s="44"/>
      <c r="K195" s="246"/>
      <c r="L195" s="253"/>
      <c r="M195" s="244"/>
      <c r="N195" s="253"/>
      <c r="O195" s="244"/>
      <c r="P195" s="253"/>
      <c r="Q195" s="244"/>
    </row>
    <row r="196" spans="1:17" hidden="1" outlineLevel="1">
      <c r="A196" s="243" t="s">
        <v>326</v>
      </c>
      <c r="B196" s="244"/>
      <c r="C196" s="273" t="s">
        <v>365</v>
      </c>
      <c r="D196" s="244"/>
      <c r="E196" s="14"/>
      <c r="F196" s="11"/>
      <c r="G196" s="14"/>
      <c r="H196" s="11"/>
      <c r="I196" s="14"/>
      <c r="J196" s="11"/>
      <c r="K196" s="246"/>
      <c r="L196" s="248"/>
      <c r="N196" s="248"/>
      <c r="P196" s="248"/>
      <c r="Q196" s="244"/>
    </row>
    <row r="197" spans="1:17" hidden="1" outlineLevel="1">
      <c r="A197" s="243"/>
      <c r="B197" s="244"/>
      <c r="C197" s="273"/>
      <c r="D197" s="244"/>
      <c r="E197" s="14"/>
      <c r="F197" s="2"/>
      <c r="G197" s="14"/>
      <c r="H197" s="2"/>
      <c r="I197" s="14"/>
      <c r="J197" s="2"/>
      <c r="K197" s="246"/>
      <c r="L197" s="244"/>
      <c r="M197" s="244"/>
      <c r="N197" s="244"/>
      <c r="O197" s="244"/>
      <c r="P197" s="244"/>
      <c r="Q197" s="244"/>
    </row>
    <row r="198" spans="1:17" hidden="1" outlineLevel="1">
      <c r="A198" s="243" t="s">
        <v>171</v>
      </c>
      <c r="B198" s="244"/>
      <c r="C198" s="249" t="s">
        <v>368</v>
      </c>
      <c r="D198" s="249"/>
      <c r="E198" s="2"/>
      <c r="F198" s="4" t="s">
        <v>292</v>
      </c>
      <c r="G198" s="14"/>
      <c r="H198" s="4" t="s">
        <v>292</v>
      </c>
      <c r="I198" s="14"/>
      <c r="J198" s="4" t="s">
        <v>292</v>
      </c>
      <c r="K198" s="244"/>
      <c r="L198" s="217" t="s">
        <v>292</v>
      </c>
      <c r="N198" s="217" t="s">
        <v>292</v>
      </c>
      <c r="P198" s="217" t="s">
        <v>292</v>
      </c>
      <c r="Q198" s="244"/>
    </row>
    <row r="199" spans="1:17" s="244" customFormat="1" hidden="1" outlineLevel="1">
      <c r="A199" s="243" t="s">
        <v>2</v>
      </c>
      <c r="C199" s="274" t="s">
        <v>170</v>
      </c>
      <c r="D199" s="274"/>
      <c r="E199" s="42"/>
      <c r="F199" s="275"/>
      <c r="G199" s="275"/>
      <c r="H199" s="275"/>
      <c r="I199" s="275"/>
      <c r="J199" s="275"/>
      <c r="K199" s="275"/>
      <c r="L199" s="275"/>
      <c r="N199" s="275"/>
      <c r="P199" s="275"/>
    </row>
    <row r="200" spans="1:17" hidden="1" outlineLevel="1">
      <c r="A200" s="243" t="s">
        <v>415</v>
      </c>
      <c r="B200" s="244"/>
      <c r="C200" s="249" t="s">
        <v>541</v>
      </c>
      <c r="D200" s="249"/>
      <c r="E200" s="2"/>
      <c r="F200" s="4" t="s">
        <v>292</v>
      </c>
      <c r="G200" s="2"/>
      <c r="H200" s="4" t="s">
        <v>292</v>
      </c>
      <c r="I200" s="2"/>
      <c r="J200" s="4" t="s">
        <v>292</v>
      </c>
      <c r="K200" s="244"/>
      <c r="L200" s="217" t="s">
        <v>292</v>
      </c>
      <c r="N200" s="217" t="s">
        <v>292</v>
      </c>
      <c r="P200" s="217" t="s">
        <v>292</v>
      </c>
      <c r="Q200" s="244"/>
    </row>
    <row r="201" spans="1:17" hidden="1" outlineLevel="1">
      <c r="A201" s="243" t="s">
        <v>223</v>
      </c>
      <c r="B201" s="244"/>
      <c r="C201" s="249" t="s">
        <v>9</v>
      </c>
      <c r="D201" s="249"/>
      <c r="E201" s="2"/>
      <c r="F201" s="4" t="s">
        <v>292</v>
      </c>
      <c r="G201" s="2"/>
      <c r="H201" s="4" t="s">
        <v>292</v>
      </c>
      <c r="I201" s="2"/>
      <c r="J201" s="4" t="s">
        <v>292</v>
      </c>
      <c r="K201" s="244"/>
      <c r="L201" s="217" t="s">
        <v>292</v>
      </c>
      <c r="N201" s="217" t="s">
        <v>292</v>
      </c>
      <c r="P201" s="217" t="s">
        <v>292</v>
      </c>
      <c r="Q201" s="244"/>
    </row>
    <row r="202" spans="1:17" hidden="1" outlineLevel="1">
      <c r="A202" s="243" t="s">
        <v>224</v>
      </c>
      <c r="B202" s="244"/>
      <c r="C202" s="249" t="s">
        <v>296</v>
      </c>
      <c r="D202" s="249"/>
      <c r="E202" s="2"/>
      <c r="F202" s="4" t="s">
        <v>292</v>
      </c>
      <c r="G202" s="2"/>
      <c r="H202" s="4" t="s">
        <v>292</v>
      </c>
      <c r="I202" s="2"/>
      <c r="J202" s="4" t="s">
        <v>292</v>
      </c>
      <c r="K202" s="244"/>
      <c r="L202" s="217" t="s">
        <v>292</v>
      </c>
      <c r="N202" s="217" t="s">
        <v>292</v>
      </c>
      <c r="P202" s="217" t="s">
        <v>292</v>
      </c>
      <c r="Q202" s="244"/>
    </row>
    <row r="203" spans="1:17" s="244" customFormat="1" collapsed="1">
      <c r="A203" s="243" t="s">
        <v>2</v>
      </c>
      <c r="C203" s="247" t="s">
        <v>542</v>
      </c>
      <c r="D203" s="256"/>
      <c r="E203" s="2"/>
    </row>
    <row r="204" spans="1:17" hidden="1" outlineLevel="1">
      <c r="A204" s="243" t="s">
        <v>543</v>
      </c>
      <c r="B204" s="244"/>
      <c r="C204" s="244" t="s">
        <v>367</v>
      </c>
      <c r="D204" s="244"/>
      <c r="E204" s="14"/>
      <c r="F204" s="37"/>
      <c r="G204" s="2"/>
      <c r="H204" s="37"/>
      <c r="I204" s="2"/>
      <c r="J204" s="37"/>
      <c r="K204" s="246"/>
      <c r="L204" s="237"/>
      <c r="N204" s="237"/>
      <c r="P204" s="237"/>
      <c r="Q204" s="244"/>
    </row>
    <row r="205" spans="1:17" hidden="1" outlineLevel="1">
      <c r="A205" s="243" t="s">
        <v>581</v>
      </c>
      <c r="B205" s="244"/>
      <c r="C205" s="244" t="s">
        <v>129</v>
      </c>
      <c r="D205" s="244"/>
      <c r="E205" s="14"/>
      <c r="F205" s="37"/>
      <c r="G205" s="14"/>
      <c r="H205" s="37"/>
      <c r="I205" s="14"/>
      <c r="J205" s="37"/>
      <c r="K205" s="246"/>
      <c r="L205" s="237"/>
      <c r="N205" s="237"/>
      <c r="P205" s="237"/>
      <c r="Q205" s="244"/>
    </row>
    <row r="206" spans="1:17" hidden="1" outlineLevel="1">
      <c r="A206" s="243" t="s">
        <v>225</v>
      </c>
      <c r="B206" s="244"/>
      <c r="C206" s="244" t="s">
        <v>297</v>
      </c>
      <c r="D206" s="244"/>
      <c r="E206" s="14"/>
      <c r="F206" s="37"/>
      <c r="G206" s="14"/>
      <c r="H206" s="37"/>
      <c r="I206" s="14"/>
      <c r="J206" s="37"/>
      <c r="K206" s="246"/>
      <c r="L206" s="237"/>
      <c r="N206" s="237"/>
      <c r="P206" s="237"/>
      <c r="Q206" s="244"/>
    </row>
    <row r="208" spans="1:17" s="242" customFormat="1">
      <c r="A208" s="239" t="s">
        <v>602</v>
      </c>
      <c r="B208" s="240"/>
      <c r="C208" s="240" t="str">
        <f>"Axiom Query - " &amp; A208</f>
        <v>Axiom Query - [AQ3]</v>
      </c>
      <c r="D208" s="240"/>
      <c r="E208" s="57"/>
      <c r="F208" s="24"/>
      <c r="G208" s="57"/>
      <c r="H208" s="24"/>
      <c r="I208" s="57"/>
      <c r="J208" s="24"/>
      <c r="K208" s="241"/>
      <c r="L208" s="240"/>
      <c r="M208" s="240"/>
      <c r="N208" s="240"/>
      <c r="O208" s="240"/>
      <c r="P208" s="240"/>
      <c r="Q208" s="240"/>
    </row>
    <row r="209" spans="1:17">
      <c r="A209" s="243" t="s">
        <v>491</v>
      </c>
      <c r="B209" s="244"/>
      <c r="C209" s="244" t="s">
        <v>125</v>
      </c>
      <c r="D209" s="244"/>
      <c r="E209" s="33"/>
      <c r="F209" s="4"/>
      <c r="G209" s="33"/>
      <c r="H209" s="4"/>
      <c r="I209" s="33"/>
      <c r="J209" s="4"/>
      <c r="K209" s="226"/>
      <c r="L209" s="217" t="s">
        <v>603</v>
      </c>
      <c r="M209" s="244"/>
      <c r="N209" s="217"/>
      <c r="O209" s="244"/>
      <c r="P209" s="217"/>
      <c r="Q209" s="244"/>
    </row>
    <row r="210" spans="1:17">
      <c r="A210" s="243" t="s">
        <v>572</v>
      </c>
      <c r="B210" s="244"/>
      <c r="C210" s="245" t="s">
        <v>215</v>
      </c>
      <c r="D210" s="245"/>
      <c r="E210" s="14"/>
      <c r="F210" s="4" t="s">
        <v>484</v>
      </c>
      <c r="G210" s="14"/>
      <c r="H210" s="4" t="s">
        <v>484</v>
      </c>
      <c r="I210" s="14"/>
      <c r="J210" s="4" t="s">
        <v>484</v>
      </c>
      <c r="K210" s="246"/>
      <c r="L210" s="217" t="s">
        <v>292</v>
      </c>
      <c r="N210" s="217" t="s">
        <v>484</v>
      </c>
      <c r="P210" s="217" t="s">
        <v>484</v>
      </c>
      <c r="Q210" s="244"/>
    </row>
    <row r="211" spans="1:17">
      <c r="A211" s="243"/>
      <c r="B211" s="244"/>
      <c r="C211" s="247" t="s">
        <v>332</v>
      </c>
      <c r="D211" s="245"/>
      <c r="E211" s="14"/>
      <c r="F211" s="2"/>
      <c r="G211" s="14"/>
      <c r="H211" s="2"/>
      <c r="I211" s="14"/>
      <c r="J211" s="2"/>
      <c r="K211" s="246"/>
      <c r="L211" s="244"/>
      <c r="M211" s="244"/>
      <c r="N211" s="244"/>
      <c r="O211" s="244"/>
      <c r="P211" s="244"/>
      <c r="Q211" s="244"/>
    </row>
    <row r="212" spans="1:17" outlineLevel="1">
      <c r="A212" s="243" t="s">
        <v>536</v>
      </c>
      <c r="B212" s="244"/>
      <c r="C212" s="245" t="s">
        <v>44</v>
      </c>
      <c r="D212" s="245"/>
      <c r="E212" s="14"/>
      <c r="F212" s="11"/>
      <c r="G212" s="14"/>
      <c r="H212" s="11"/>
      <c r="I212" s="14"/>
      <c r="J212" s="11"/>
      <c r="K212" s="246"/>
      <c r="L212" s="248" t="str">
        <f>L144</f>
        <v>ACT2020</v>
      </c>
      <c r="M212" s="244"/>
      <c r="N212" s="248"/>
      <c r="O212" s="244"/>
      <c r="P212" s="248"/>
      <c r="Q212" s="244"/>
    </row>
    <row r="213" spans="1:17" outlineLevel="1">
      <c r="A213" s="243" t="s">
        <v>168</v>
      </c>
      <c r="B213" s="244"/>
      <c r="C213" s="249" t="s">
        <v>255</v>
      </c>
      <c r="D213" s="249"/>
      <c r="E213" s="14"/>
      <c r="F213" s="4"/>
      <c r="G213" s="14"/>
      <c r="H213" s="4"/>
      <c r="I213" s="14"/>
      <c r="J213" s="4"/>
      <c r="K213" s="246"/>
      <c r="L213" s="248" t="str">
        <f>L145</f>
        <v>ACCT.BudgetType;ACCT.RptMap;DEPT.RptMap</v>
      </c>
      <c r="M213" s="244"/>
      <c r="N213" s="217"/>
      <c r="O213" s="244"/>
      <c r="P213" s="217"/>
      <c r="Q213" s="244"/>
    </row>
    <row r="214" spans="1:17" outlineLevel="1">
      <c r="A214" s="243" t="s">
        <v>333</v>
      </c>
      <c r="B214" s="244"/>
      <c r="C214" s="249" t="s">
        <v>492</v>
      </c>
      <c r="D214" s="249"/>
      <c r="E214" s="14"/>
      <c r="F214" s="11" t="str">
        <f>IF(F213="","",F213)</f>
        <v/>
      </c>
      <c r="G214" s="14"/>
      <c r="H214" s="11" t="str">
        <f>IF(H213="","",H213)</f>
        <v/>
      </c>
      <c r="I214" s="14"/>
      <c r="J214" s="11" t="str">
        <f>IF(J213="","",J213)</f>
        <v/>
      </c>
      <c r="K214" s="246"/>
      <c r="L214" s="248" t="str">
        <f>IF(L213="","",L213)</f>
        <v>ACCT.BudgetType;ACCT.RptMap;DEPT.RptMap</v>
      </c>
      <c r="M214" s="244"/>
      <c r="N214" s="248" t="str">
        <f>IF(N213="","",N213)</f>
        <v/>
      </c>
      <c r="O214" s="244"/>
      <c r="P214" s="248" t="str">
        <f>IF(P213="","",P213)</f>
        <v/>
      </c>
      <c r="Q214" s="244"/>
    </row>
    <row r="215" spans="1:17" outlineLevel="1">
      <c r="A215" s="243" t="s">
        <v>293</v>
      </c>
      <c r="B215" s="244"/>
      <c r="C215" s="249" t="s">
        <v>447</v>
      </c>
      <c r="D215" s="249"/>
      <c r="E215" s="14"/>
      <c r="F215" s="4"/>
      <c r="G215" s="14"/>
      <c r="H215" s="4"/>
      <c r="I215" s="14"/>
      <c r="J215" s="4"/>
      <c r="K215" s="246"/>
      <c r="L215" s="217"/>
      <c r="M215" s="244"/>
      <c r="N215" s="217"/>
      <c r="O215" s="244"/>
      <c r="P215" s="217"/>
      <c r="Q215" s="244"/>
    </row>
    <row r="216" spans="1:17" outlineLevel="1">
      <c r="A216" s="243"/>
      <c r="B216" s="244"/>
      <c r="C216" s="247" t="s">
        <v>364</v>
      </c>
      <c r="D216" s="249"/>
      <c r="E216" s="14"/>
      <c r="F216" s="2"/>
      <c r="G216" s="14"/>
      <c r="H216" s="2"/>
      <c r="I216" s="14"/>
      <c r="J216" s="2"/>
      <c r="K216" s="246"/>
      <c r="L216" s="244"/>
      <c r="M216" s="244"/>
      <c r="N216" s="244"/>
      <c r="O216" s="244"/>
      <c r="P216" s="244"/>
      <c r="Q216" s="244"/>
    </row>
    <row r="217" spans="1:17" s="224" customFormat="1" ht="20.399999999999999" outlineLevel="2">
      <c r="A217" s="250" t="s">
        <v>82</v>
      </c>
      <c r="B217" s="251"/>
      <c r="C217" s="249" t="s">
        <v>408</v>
      </c>
      <c r="D217" s="249"/>
      <c r="E217" s="58"/>
      <c r="F217" s="44"/>
      <c r="G217" s="58"/>
      <c r="H217" s="44"/>
      <c r="I217" s="58"/>
      <c r="J217" s="44"/>
      <c r="K217" s="252"/>
      <c r="L217" s="253" t="s">
        <v>393</v>
      </c>
      <c r="M217" s="254"/>
      <c r="N217" s="253"/>
      <c r="O217" s="254"/>
      <c r="P217" s="253"/>
      <c r="Q217" s="255"/>
    </row>
    <row r="218" spans="1:17" outlineLevel="2">
      <c r="A218" s="243" t="s">
        <v>45</v>
      </c>
      <c r="B218" s="244"/>
      <c r="C218" s="249" t="s">
        <v>334</v>
      </c>
      <c r="D218" s="249"/>
      <c r="E218" s="14"/>
      <c r="F218" s="44"/>
      <c r="G218" s="14"/>
      <c r="H218" s="44"/>
      <c r="I218" s="14"/>
      <c r="J218" s="44"/>
      <c r="K218" s="246"/>
      <c r="L218" s="253"/>
      <c r="M218" s="244"/>
      <c r="N218" s="253"/>
      <c r="O218" s="244"/>
      <c r="P218" s="253"/>
      <c r="Q218" s="244"/>
    </row>
    <row r="219" spans="1:17" outlineLevel="2">
      <c r="A219" s="243" t="s">
        <v>46</v>
      </c>
      <c r="B219" s="244"/>
      <c r="C219" s="249" t="s">
        <v>256</v>
      </c>
      <c r="D219" s="249"/>
      <c r="E219" s="14"/>
      <c r="F219" s="44"/>
      <c r="G219" s="14"/>
      <c r="H219" s="44"/>
      <c r="I219" s="14"/>
      <c r="J219" s="44"/>
      <c r="K219" s="246"/>
      <c r="L219" s="253"/>
      <c r="M219" s="244"/>
      <c r="N219" s="253"/>
      <c r="O219" s="244"/>
      <c r="P219" s="253"/>
      <c r="Q219" s="244"/>
    </row>
    <row r="220" spans="1:17" outlineLevel="2">
      <c r="A220" s="243" t="s">
        <v>537</v>
      </c>
      <c r="B220" s="244"/>
      <c r="C220" s="249" t="s">
        <v>216</v>
      </c>
      <c r="D220" s="249"/>
      <c r="E220" s="14"/>
      <c r="F220" s="44"/>
      <c r="G220" s="14"/>
      <c r="H220" s="44"/>
      <c r="I220" s="14"/>
      <c r="J220" s="44"/>
      <c r="K220" s="246"/>
      <c r="L220" s="253"/>
      <c r="M220" s="244"/>
      <c r="N220" s="253"/>
      <c r="O220" s="244"/>
      <c r="P220" s="253"/>
      <c r="Q220" s="244"/>
    </row>
    <row r="221" spans="1:17" outlineLevel="1">
      <c r="A221" s="243" t="s">
        <v>126</v>
      </c>
      <c r="B221" s="244"/>
      <c r="C221" s="244" t="s">
        <v>448</v>
      </c>
      <c r="D221" s="244"/>
      <c r="E221" s="14"/>
      <c r="F221" s="4" t="s">
        <v>484</v>
      </c>
      <c r="G221" s="14"/>
      <c r="H221" s="4" t="s">
        <v>484</v>
      </c>
      <c r="I221" s="14"/>
      <c r="J221" s="4" t="s">
        <v>484</v>
      </c>
      <c r="K221" s="246"/>
      <c r="L221" s="217" t="s">
        <v>484</v>
      </c>
      <c r="N221" s="217" t="s">
        <v>484</v>
      </c>
      <c r="P221" s="217" t="s">
        <v>484</v>
      </c>
      <c r="Q221" s="244"/>
    </row>
    <row r="222" spans="1:17" outlineLevel="1">
      <c r="A222" s="243" t="s">
        <v>47</v>
      </c>
      <c r="B222" s="244"/>
      <c r="C222" s="244" t="s">
        <v>7</v>
      </c>
      <c r="D222" s="249"/>
      <c r="E222" s="2"/>
      <c r="F222" s="4"/>
      <c r="G222" s="2"/>
      <c r="H222" s="4"/>
      <c r="I222" s="2"/>
      <c r="J222" s="4"/>
      <c r="K222" s="244"/>
      <c r="L222" s="217"/>
      <c r="M222" s="244"/>
      <c r="N222" s="217"/>
      <c r="O222" s="244"/>
      <c r="P222" s="217"/>
      <c r="Q222" s="244"/>
    </row>
    <row r="223" spans="1:17" outlineLevel="1">
      <c r="A223" s="243" t="s">
        <v>48</v>
      </c>
      <c r="B223" s="244"/>
      <c r="C223" s="244" t="s">
        <v>83</v>
      </c>
      <c r="D223" s="249"/>
      <c r="E223" s="2"/>
      <c r="F223" s="4"/>
      <c r="G223" s="2"/>
      <c r="H223" s="4"/>
      <c r="I223" s="2"/>
      <c r="J223" s="4"/>
      <c r="K223" s="244"/>
      <c r="L223" s="217"/>
      <c r="M223" s="244"/>
      <c r="N223" s="217"/>
      <c r="O223" s="244"/>
      <c r="P223" s="217"/>
      <c r="Q223" s="244"/>
    </row>
    <row r="224" spans="1:17" outlineLevel="1">
      <c r="A224" s="243" t="s">
        <v>112</v>
      </c>
      <c r="B224" s="244"/>
      <c r="C224" s="244" t="s">
        <v>439</v>
      </c>
      <c r="D224" s="249"/>
      <c r="E224" s="2"/>
      <c r="F224" s="4"/>
      <c r="G224" s="2"/>
      <c r="H224" s="4"/>
      <c r="I224" s="2"/>
      <c r="J224" s="4"/>
      <c r="K224" s="244"/>
      <c r="L224" s="217"/>
      <c r="M224" s="244"/>
      <c r="N224" s="217"/>
      <c r="O224" s="244"/>
      <c r="P224" s="217"/>
      <c r="Q224" s="244"/>
    </row>
    <row r="225" spans="1:17" outlineLevel="1">
      <c r="A225" s="243" t="s">
        <v>284</v>
      </c>
      <c r="B225" s="244"/>
      <c r="C225" s="244" t="s">
        <v>287</v>
      </c>
      <c r="D225" s="249"/>
      <c r="E225" s="2"/>
      <c r="F225" s="4"/>
      <c r="G225" s="2"/>
      <c r="H225" s="4"/>
      <c r="I225" s="2"/>
      <c r="J225" s="4"/>
      <c r="K225" s="244"/>
      <c r="L225" s="217"/>
      <c r="M225" s="244"/>
      <c r="N225" s="217"/>
      <c r="O225" s="244"/>
      <c r="P225" s="217"/>
      <c r="Q225" s="244"/>
    </row>
    <row r="226" spans="1:17" collapsed="1">
      <c r="A226" s="243"/>
      <c r="B226" s="244"/>
      <c r="C226" s="247" t="s">
        <v>257</v>
      </c>
      <c r="D226" s="249"/>
      <c r="E226" s="2"/>
      <c r="F226" s="2"/>
      <c r="G226" s="2"/>
      <c r="H226" s="2"/>
      <c r="I226" s="2"/>
      <c r="J226" s="2"/>
      <c r="K226" s="244"/>
      <c r="L226" s="244"/>
      <c r="M226" s="244"/>
      <c r="N226" s="244"/>
      <c r="O226" s="244"/>
      <c r="P226" s="244"/>
      <c r="Q226" s="244"/>
    </row>
    <row r="227" spans="1:17" hidden="1" outlineLevel="1">
      <c r="A227" s="243" t="s">
        <v>409</v>
      </c>
      <c r="B227" s="244"/>
      <c r="C227" s="249" t="s">
        <v>217</v>
      </c>
      <c r="D227" s="244"/>
      <c r="E227" s="14"/>
      <c r="F227" s="4" t="s">
        <v>615</v>
      </c>
      <c r="G227" s="14"/>
      <c r="H227" s="4" t="s">
        <v>615</v>
      </c>
      <c r="I227" s="14"/>
      <c r="J227" s="4" t="s">
        <v>615</v>
      </c>
      <c r="K227" s="246"/>
      <c r="L227" s="217" t="s">
        <v>615</v>
      </c>
      <c r="N227" s="217" t="s">
        <v>615</v>
      </c>
      <c r="P227" s="217" t="s">
        <v>615</v>
      </c>
      <c r="Q227" s="244"/>
    </row>
    <row r="228" spans="1:17" hidden="1" outlineLevel="1">
      <c r="A228" s="243" t="s">
        <v>218</v>
      </c>
      <c r="B228" s="244"/>
      <c r="C228" s="249" t="s">
        <v>573</v>
      </c>
      <c r="D228" s="244"/>
      <c r="E228" s="14"/>
      <c r="F228" s="4" t="s">
        <v>484</v>
      </c>
      <c r="G228" s="14"/>
      <c r="H228" s="4" t="s">
        <v>484</v>
      </c>
      <c r="I228" s="14"/>
      <c r="J228" s="4" t="s">
        <v>484</v>
      </c>
      <c r="K228" s="246"/>
      <c r="L228" s="217" t="s">
        <v>484</v>
      </c>
      <c r="N228" s="217" t="s">
        <v>484</v>
      </c>
      <c r="P228" s="217" t="s">
        <v>484</v>
      </c>
      <c r="Q228" s="244"/>
    </row>
    <row r="229" spans="1:17" hidden="1" outlineLevel="1">
      <c r="A229" s="243" t="s">
        <v>294</v>
      </c>
      <c r="B229" s="244"/>
      <c r="C229" s="249" t="s">
        <v>493</v>
      </c>
      <c r="D229" s="244"/>
      <c r="E229" s="14"/>
      <c r="F229" s="4" t="s">
        <v>484</v>
      </c>
      <c r="G229" s="14"/>
      <c r="H229" s="4" t="s">
        <v>484</v>
      </c>
      <c r="I229" s="14"/>
      <c r="J229" s="4" t="s">
        <v>484</v>
      </c>
      <c r="K229" s="246"/>
      <c r="L229" s="217" t="s">
        <v>484</v>
      </c>
      <c r="N229" s="217" t="s">
        <v>484</v>
      </c>
      <c r="P229" s="217" t="s">
        <v>484</v>
      </c>
      <c r="Q229" s="244"/>
    </row>
    <row r="230" spans="1:17" hidden="1" outlineLevel="1">
      <c r="A230" s="243" t="s">
        <v>410</v>
      </c>
      <c r="B230" s="244"/>
      <c r="C230" s="249" t="s">
        <v>616</v>
      </c>
      <c r="D230" s="244"/>
      <c r="E230" s="14"/>
      <c r="F230" s="4" t="s">
        <v>292</v>
      </c>
      <c r="G230" s="14"/>
      <c r="H230" s="4" t="s">
        <v>292</v>
      </c>
      <c r="I230" s="14"/>
      <c r="J230" s="4" t="s">
        <v>292</v>
      </c>
      <c r="K230" s="246"/>
      <c r="L230" s="217" t="s">
        <v>484</v>
      </c>
      <c r="N230" s="217" t="s">
        <v>292</v>
      </c>
      <c r="P230" s="217" t="s">
        <v>292</v>
      </c>
      <c r="Q230" s="244"/>
    </row>
    <row r="231" spans="1:17" s="244" customFormat="1" collapsed="1">
      <c r="A231" s="243"/>
      <c r="C231" s="247" t="s">
        <v>295</v>
      </c>
      <c r="D231" s="256"/>
      <c r="E231" s="2"/>
      <c r="F231" s="2"/>
      <c r="G231" s="2"/>
      <c r="H231" s="2"/>
      <c r="I231" s="2"/>
      <c r="J231" s="2"/>
    </row>
    <row r="232" spans="1:17" s="244" customFormat="1" hidden="1" outlineLevel="1">
      <c r="A232" s="243"/>
      <c r="C232" s="257" t="s">
        <v>127</v>
      </c>
      <c r="D232" s="256"/>
      <c r="E232" s="2"/>
      <c r="F232" s="2"/>
      <c r="G232" s="2"/>
      <c r="H232" s="2"/>
      <c r="I232" s="2"/>
      <c r="J232" s="2"/>
    </row>
    <row r="233" spans="1:17" hidden="1" outlineLevel="2">
      <c r="A233" s="243" t="s">
        <v>258</v>
      </c>
      <c r="B233" s="244"/>
      <c r="C233" s="258" t="s">
        <v>219</v>
      </c>
      <c r="D233" s="249"/>
      <c r="E233" s="2"/>
      <c r="F233" s="12" t="s">
        <v>84</v>
      </c>
      <c r="G233" s="2"/>
      <c r="H233" s="12" t="s">
        <v>84</v>
      </c>
      <c r="I233" s="2"/>
      <c r="J233" s="12" t="s">
        <v>84</v>
      </c>
      <c r="K233" s="244"/>
      <c r="L233" s="231" t="s">
        <v>147</v>
      </c>
      <c r="M233" s="259" t="s">
        <v>2</v>
      </c>
      <c r="N233" s="231" t="s">
        <v>84</v>
      </c>
      <c r="O233" s="259" t="s">
        <v>2</v>
      </c>
      <c r="P233" s="231" t="s">
        <v>84</v>
      </c>
      <c r="Q233" s="259" t="s">
        <v>2</v>
      </c>
    </row>
    <row r="234" spans="1:17" hidden="1" outlineLevel="2">
      <c r="A234" s="243" t="s">
        <v>49</v>
      </c>
      <c r="B234" s="244"/>
      <c r="C234" s="258" t="s">
        <v>169</v>
      </c>
      <c r="D234" s="249"/>
      <c r="E234" s="2"/>
      <c r="F234" s="11" t="s">
        <v>494</v>
      </c>
      <c r="G234" s="2"/>
      <c r="H234" s="11" t="s">
        <v>494</v>
      </c>
      <c r="I234" s="2"/>
      <c r="J234" s="11" t="s">
        <v>494</v>
      </c>
      <c r="K234" s="244"/>
      <c r="L234" s="248" t="s">
        <v>494</v>
      </c>
      <c r="M234" s="244"/>
      <c r="N234" s="248" t="s">
        <v>494</v>
      </c>
      <c r="O234" s="244"/>
      <c r="P234" s="248" t="s">
        <v>494</v>
      </c>
      <c r="Q234" s="244"/>
    </row>
    <row r="235" spans="1:17" hidden="1" outlineLevel="2">
      <c r="A235" s="243" t="s">
        <v>411</v>
      </c>
      <c r="B235" s="244"/>
      <c r="C235" s="258" t="s">
        <v>617</v>
      </c>
      <c r="D235" s="249"/>
      <c r="E235" s="2"/>
      <c r="F235" s="4"/>
      <c r="G235" s="2"/>
      <c r="H235" s="4"/>
      <c r="I235" s="2"/>
      <c r="J235" s="4"/>
      <c r="K235" s="244"/>
      <c r="L235" s="217"/>
      <c r="M235" s="244"/>
      <c r="N235" s="217"/>
      <c r="O235" s="244"/>
      <c r="P235" s="217"/>
      <c r="Q235" s="244"/>
    </row>
    <row r="236" spans="1:17" hidden="1" outlineLevel="1">
      <c r="A236" s="243"/>
      <c r="B236" s="244"/>
      <c r="C236" s="257" t="s">
        <v>335</v>
      </c>
      <c r="D236" s="249"/>
      <c r="E236" s="2"/>
      <c r="F236" s="2"/>
      <c r="G236" s="2"/>
      <c r="H236" s="2"/>
      <c r="I236" s="2"/>
      <c r="J236" s="2"/>
      <c r="K236" s="244"/>
      <c r="L236" s="244"/>
      <c r="M236" s="244"/>
      <c r="N236" s="244"/>
      <c r="O236" s="244"/>
      <c r="P236" s="244"/>
      <c r="Q236" s="244"/>
    </row>
    <row r="237" spans="1:17" s="265" customFormat="1" hidden="1" outlineLevel="2">
      <c r="A237" s="260" t="s">
        <v>574</v>
      </c>
      <c r="B237" s="261"/>
      <c r="C237" s="258" t="s">
        <v>259</v>
      </c>
      <c r="D237" s="262"/>
      <c r="E237" s="8"/>
      <c r="F237" s="46" t="s">
        <v>575</v>
      </c>
      <c r="G237" s="8"/>
      <c r="H237" s="46" t="s">
        <v>575</v>
      </c>
      <c r="I237" s="8"/>
      <c r="J237" s="46" t="s">
        <v>575</v>
      </c>
      <c r="K237" s="261"/>
      <c r="L237" s="263" t="s">
        <v>316</v>
      </c>
      <c r="M237" s="264" t="s">
        <v>2</v>
      </c>
      <c r="N237" s="263" t="s">
        <v>575</v>
      </c>
      <c r="O237" s="264" t="s">
        <v>2</v>
      </c>
      <c r="P237" s="263" t="s">
        <v>575</v>
      </c>
    </row>
    <row r="238" spans="1:17" s="261" customFormat="1" hidden="1" outlineLevel="2">
      <c r="A238" s="260"/>
      <c r="C238" s="266" t="s">
        <v>170</v>
      </c>
      <c r="D238" s="266"/>
      <c r="E238" s="27"/>
      <c r="F238" s="25"/>
      <c r="G238" s="27"/>
      <c r="H238" s="25"/>
      <c r="I238" s="27"/>
      <c r="J238" s="25"/>
      <c r="K238" s="266"/>
      <c r="L238" s="267"/>
      <c r="N238" s="267"/>
      <c r="P238" s="267"/>
    </row>
    <row r="239" spans="1:17" s="265" customFormat="1" hidden="1" outlineLevel="2">
      <c r="A239" s="260" t="s">
        <v>412</v>
      </c>
      <c r="B239" s="261"/>
      <c r="C239" s="258" t="s">
        <v>576</v>
      </c>
      <c r="D239" s="262"/>
      <c r="E239" s="8"/>
      <c r="F239" s="26"/>
      <c r="G239" s="8"/>
      <c r="H239" s="26"/>
      <c r="I239" s="8"/>
      <c r="J239" s="26"/>
      <c r="K239" s="261"/>
      <c r="L239" s="268"/>
      <c r="M239" s="261"/>
      <c r="N239" s="268"/>
      <c r="O239" s="261"/>
      <c r="P239" s="268"/>
    </row>
    <row r="240" spans="1:17" s="261" customFormat="1" hidden="1" outlineLevel="2">
      <c r="A240" s="260"/>
      <c r="C240" s="266" t="s">
        <v>538</v>
      </c>
      <c r="D240" s="266"/>
      <c r="E240" s="27"/>
      <c r="F240" s="25"/>
      <c r="G240" s="27"/>
      <c r="H240" s="25"/>
      <c r="I240" s="27"/>
      <c r="J240" s="25"/>
      <c r="K240" s="266"/>
      <c r="L240" s="267"/>
      <c r="N240" s="267"/>
      <c r="P240" s="267"/>
    </row>
    <row r="241" spans="1:17" s="261" customFormat="1" hidden="1" outlineLevel="2">
      <c r="A241" s="260"/>
      <c r="C241" s="258" t="s">
        <v>336</v>
      </c>
      <c r="D241" s="266"/>
      <c r="E241" s="27"/>
      <c r="F241" s="25"/>
      <c r="G241" s="27"/>
      <c r="H241" s="25"/>
      <c r="I241" s="27"/>
      <c r="J241" s="25"/>
      <c r="K241" s="266"/>
      <c r="L241" s="267"/>
      <c r="N241" s="267"/>
      <c r="P241" s="267"/>
    </row>
    <row r="242" spans="1:17" s="265" customFormat="1" hidden="1" outlineLevel="2">
      <c r="A242" s="260" t="s">
        <v>413</v>
      </c>
      <c r="B242" s="261"/>
      <c r="C242" s="269" t="s">
        <v>577</v>
      </c>
      <c r="D242" s="262"/>
      <c r="E242" s="8"/>
      <c r="F242" s="47"/>
      <c r="G242" s="8"/>
      <c r="H242" s="47"/>
      <c r="I242" s="8"/>
      <c r="J242" s="47"/>
      <c r="K242" s="261"/>
      <c r="L242" s="270"/>
      <c r="M242" s="261"/>
      <c r="N242" s="270"/>
      <c r="O242" s="261"/>
      <c r="P242" s="270"/>
    </row>
    <row r="243" spans="1:17" s="265" customFormat="1" hidden="1" outlineLevel="2">
      <c r="A243" s="260" t="s">
        <v>618</v>
      </c>
      <c r="B243" s="261"/>
      <c r="C243" s="269" t="s">
        <v>495</v>
      </c>
      <c r="D243" s="262"/>
      <c r="E243" s="8"/>
      <c r="F243" s="47"/>
      <c r="G243" s="8"/>
      <c r="H243" s="47"/>
      <c r="I243" s="8"/>
      <c r="J243" s="47"/>
      <c r="K243" s="261"/>
      <c r="L243" s="270"/>
      <c r="M243" s="261"/>
      <c r="N243" s="270"/>
      <c r="O243" s="261"/>
      <c r="P243" s="270"/>
    </row>
    <row r="244" spans="1:17" s="265" customFormat="1" hidden="1" outlineLevel="2">
      <c r="A244" s="260" t="s">
        <v>539</v>
      </c>
      <c r="B244" s="261"/>
      <c r="C244" s="269" t="s">
        <v>496</v>
      </c>
      <c r="D244" s="262"/>
      <c r="E244" s="8"/>
      <c r="F244" s="47"/>
      <c r="G244" s="8"/>
      <c r="H244" s="47"/>
      <c r="I244" s="8"/>
      <c r="J244" s="47"/>
      <c r="K244" s="261"/>
      <c r="L244" s="270"/>
      <c r="M244" s="261"/>
      <c r="N244" s="270"/>
      <c r="O244" s="261"/>
      <c r="P244" s="270"/>
    </row>
    <row r="245" spans="1:17" s="265" customFormat="1" hidden="1" outlineLevel="2">
      <c r="A245" s="260" t="s">
        <v>220</v>
      </c>
      <c r="B245" s="261"/>
      <c r="C245" s="269" t="s">
        <v>619</v>
      </c>
      <c r="D245" s="262"/>
      <c r="E245" s="8"/>
      <c r="F245" s="47"/>
      <c r="G245" s="8"/>
      <c r="H245" s="47"/>
      <c r="I245" s="8"/>
      <c r="J245" s="47"/>
      <c r="K245" s="261"/>
      <c r="L245" s="270"/>
      <c r="M245" s="261"/>
      <c r="N245" s="270"/>
      <c r="O245" s="261"/>
      <c r="P245" s="270"/>
    </row>
    <row r="246" spans="1:17" s="261" customFormat="1" hidden="1" outlineLevel="2">
      <c r="A246" s="260"/>
      <c r="C246" s="271"/>
      <c r="D246" s="271"/>
      <c r="E246" s="8"/>
      <c r="F246" s="8"/>
      <c r="G246" s="8"/>
      <c r="H246" s="8"/>
      <c r="I246" s="8"/>
      <c r="J246" s="8"/>
    </row>
    <row r="247" spans="1:17" s="265" customFormat="1" hidden="1" outlineLevel="2">
      <c r="A247" s="260" t="s">
        <v>85</v>
      </c>
      <c r="B247" s="261"/>
      <c r="C247" s="272" t="s">
        <v>128</v>
      </c>
      <c r="D247" s="262"/>
      <c r="E247" s="8"/>
      <c r="F247" s="26"/>
      <c r="G247" s="8"/>
      <c r="H247" s="26"/>
      <c r="I247" s="8"/>
      <c r="J247" s="26"/>
      <c r="K247" s="261"/>
      <c r="L247" s="268"/>
      <c r="M247" s="261"/>
      <c r="N247" s="268"/>
      <c r="O247" s="261"/>
      <c r="P247" s="268"/>
    </row>
    <row r="248" spans="1:17" collapsed="1">
      <c r="A248" s="243"/>
      <c r="B248" s="244"/>
      <c r="C248" s="247" t="s">
        <v>337</v>
      </c>
      <c r="D248" s="249"/>
      <c r="E248" s="2"/>
      <c r="F248" s="2"/>
      <c r="G248" s="2"/>
      <c r="H248" s="2"/>
      <c r="I248" s="2"/>
      <c r="J248" s="2"/>
      <c r="K248" s="244"/>
      <c r="L248" s="244"/>
      <c r="M248" s="244"/>
      <c r="N248" s="244"/>
      <c r="O248" s="244"/>
      <c r="P248" s="244"/>
      <c r="Q248" s="244"/>
    </row>
    <row r="249" spans="1:17" hidden="1" outlineLevel="1">
      <c r="A249" s="243"/>
      <c r="B249" s="244"/>
      <c r="C249" s="245" t="s">
        <v>86</v>
      </c>
      <c r="D249" s="249"/>
      <c r="E249" s="2"/>
      <c r="F249" s="2"/>
      <c r="G249" s="2"/>
      <c r="H249" s="2"/>
      <c r="I249" s="2"/>
      <c r="J249" s="2"/>
      <c r="K249" s="244"/>
      <c r="L249" s="244"/>
      <c r="M249" s="244"/>
      <c r="N249" s="244"/>
      <c r="O249" s="244"/>
      <c r="P249" s="244"/>
      <c r="Q249" s="244"/>
    </row>
    <row r="250" spans="1:17" hidden="1" outlineLevel="1">
      <c r="A250" s="243" t="s">
        <v>578</v>
      </c>
      <c r="B250" s="244"/>
      <c r="C250" s="249" t="s">
        <v>260</v>
      </c>
      <c r="D250" s="249"/>
      <c r="E250" s="2"/>
      <c r="F250" s="12" t="s">
        <v>2</v>
      </c>
      <c r="G250" s="2"/>
      <c r="H250" s="12" t="s">
        <v>2</v>
      </c>
      <c r="I250" s="2"/>
      <c r="J250" s="12" t="s">
        <v>2</v>
      </c>
      <c r="K250" s="244"/>
      <c r="L250" s="231" t="s">
        <v>2</v>
      </c>
      <c r="M250" s="259" t="s">
        <v>2</v>
      </c>
      <c r="N250" s="231" t="s">
        <v>2</v>
      </c>
      <c r="O250" s="259" t="s">
        <v>2</v>
      </c>
      <c r="P250" s="231" t="s">
        <v>2</v>
      </c>
      <c r="Q250" s="259" t="s">
        <v>2</v>
      </c>
    </row>
    <row r="251" spans="1:17" hidden="1" outlineLevel="1">
      <c r="A251" s="243" t="s">
        <v>261</v>
      </c>
      <c r="B251" s="244"/>
      <c r="C251" s="249" t="s">
        <v>620</v>
      </c>
      <c r="D251" s="249"/>
      <c r="E251" s="2"/>
      <c r="F251" s="12" t="s">
        <v>2</v>
      </c>
      <c r="G251" s="2"/>
      <c r="H251" s="12" t="s">
        <v>2</v>
      </c>
      <c r="I251" s="2"/>
      <c r="J251" s="12" t="s">
        <v>2</v>
      </c>
      <c r="K251" s="244"/>
      <c r="L251" s="231" t="s">
        <v>2</v>
      </c>
      <c r="M251" s="244"/>
      <c r="N251" s="231" t="s">
        <v>2</v>
      </c>
      <c r="O251" s="244"/>
      <c r="P251" s="231" t="s">
        <v>2</v>
      </c>
      <c r="Q251" s="244"/>
    </row>
    <row r="252" spans="1:17" s="244" customFormat="1" hidden="1" outlineLevel="1">
      <c r="A252" s="243"/>
      <c r="C252" s="245" t="s">
        <v>50</v>
      </c>
      <c r="D252" s="256"/>
      <c r="E252" s="2"/>
      <c r="F252" s="2"/>
      <c r="G252" s="2"/>
      <c r="H252" s="2"/>
      <c r="I252" s="2"/>
      <c r="J252" s="2"/>
    </row>
    <row r="253" spans="1:17" hidden="1" outlineLevel="1">
      <c r="A253" s="243" t="s">
        <v>579</v>
      </c>
      <c r="B253" s="244"/>
      <c r="C253" s="249" t="s">
        <v>221</v>
      </c>
      <c r="D253" s="249"/>
      <c r="E253" s="2"/>
      <c r="F253" s="12" t="s">
        <v>2</v>
      </c>
      <c r="G253" s="2"/>
      <c r="H253" s="12" t="s">
        <v>2</v>
      </c>
      <c r="I253" s="2"/>
      <c r="J253" s="12" t="s">
        <v>2</v>
      </c>
      <c r="K253" s="244"/>
      <c r="L253" s="231" t="s">
        <v>2</v>
      </c>
      <c r="M253" s="259" t="s">
        <v>2</v>
      </c>
      <c r="N253" s="231" t="s">
        <v>2</v>
      </c>
      <c r="O253" s="259" t="s">
        <v>2</v>
      </c>
      <c r="P253" s="231" t="s">
        <v>2</v>
      </c>
      <c r="Q253" s="259" t="s">
        <v>2</v>
      </c>
    </row>
    <row r="254" spans="1:17" s="244" customFormat="1" collapsed="1">
      <c r="A254" s="243"/>
      <c r="C254" s="247" t="s">
        <v>580</v>
      </c>
      <c r="D254" s="256"/>
      <c r="E254" s="2"/>
      <c r="F254" s="2"/>
      <c r="G254" s="2"/>
      <c r="H254" s="2"/>
      <c r="I254" s="2"/>
      <c r="J254" s="2"/>
    </row>
    <row r="255" spans="1:17" hidden="1" outlineLevel="1">
      <c r="A255" s="243" t="s">
        <v>222</v>
      </c>
      <c r="B255" s="244"/>
      <c r="C255" s="273" t="s">
        <v>262</v>
      </c>
      <c r="D255" s="244"/>
      <c r="E255" s="14"/>
      <c r="F255" s="4" t="s">
        <v>292</v>
      </c>
      <c r="G255" s="14"/>
      <c r="H255" s="4" t="s">
        <v>292</v>
      </c>
      <c r="I255" s="14"/>
      <c r="J255" s="4" t="s">
        <v>292</v>
      </c>
      <c r="K255" s="246"/>
      <c r="L255" s="217" t="s">
        <v>292</v>
      </c>
      <c r="N255" s="217" t="s">
        <v>292</v>
      </c>
      <c r="P255" s="217" t="s">
        <v>292</v>
      </c>
      <c r="Q255" s="244"/>
    </row>
    <row r="256" spans="1:17" hidden="1" outlineLevel="1">
      <c r="A256" s="243" t="s">
        <v>540</v>
      </c>
      <c r="B256" s="244"/>
      <c r="C256" s="273" t="s">
        <v>51</v>
      </c>
      <c r="D256" s="244"/>
      <c r="E256" s="14"/>
      <c r="F256" s="4" t="s">
        <v>292</v>
      </c>
      <c r="G256" s="14"/>
      <c r="H256" s="4" t="s">
        <v>292</v>
      </c>
      <c r="I256" s="14"/>
      <c r="J256" s="4" t="s">
        <v>292</v>
      </c>
      <c r="K256" s="246"/>
      <c r="L256" s="217" t="s">
        <v>292</v>
      </c>
      <c r="N256" s="217" t="s">
        <v>292</v>
      </c>
      <c r="P256" s="217" t="s">
        <v>292</v>
      </c>
      <c r="Q256" s="244"/>
    </row>
    <row r="257" spans="1:17" hidden="1" outlineLevel="1">
      <c r="A257" s="243" t="s">
        <v>397</v>
      </c>
      <c r="B257" s="244"/>
      <c r="C257" s="273" t="s">
        <v>399</v>
      </c>
      <c r="D257" s="244"/>
      <c r="E257" s="14"/>
      <c r="F257" s="4"/>
      <c r="G257" s="14"/>
      <c r="H257" s="4"/>
      <c r="I257" s="14"/>
      <c r="J257" s="4"/>
      <c r="K257" s="246"/>
      <c r="L257" s="217"/>
      <c r="N257" s="217"/>
      <c r="P257" s="217"/>
      <c r="Q257" s="244"/>
    </row>
    <row r="258" spans="1:17" hidden="1" outlineLevel="1">
      <c r="A258" s="243" t="s">
        <v>449</v>
      </c>
      <c r="B258" s="244"/>
      <c r="C258" s="273" t="s">
        <v>497</v>
      </c>
      <c r="D258" s="244"/>
      <c r="E258" s="14"/>
      <c r="F258" s="4" t="s">
        <v>484</v>
      </c>
      <c r="G258" s="14"/>
      <c r="H258" s="4" t="s">
        <v>484</v>
      </c>
      <c r="I258" s="14"/>
      <c r="J258" s="4" t="s">
        <v>484</v>
      </c>
      <c r="K258" s="246"/>
      <c r="L258" s="217" t="s">
        <v>484</v>
      </c>
      <c r="N258" s="217" t="s">
        <v>484</v>
      </c>
      <c r="P258" s="217" t="s">
        <v>484</v>
      </c>
      <c r="Q258" s="244"/>
    </row>
    <row r="259" spans="1:17" hidden="1" outlineLevel="1">
      <c r="A259" s="243" t="s">
        <v>450</v>
      </c>
      <c r="B259" s="244"/>
      <c r="C259" s="273" t="s">
        <v>498</v>
      </c>
      <c r="D259" s="244"/>
      <c r="E259" s="14"/>
      <c r="F259" s="4" t="s">
        <v>484</v>
      </c>
      <c r="G259" s="14"/>
      <c r="H259" s="4" t="s">
        <v>484</v>
      </c>
      <c r="I259" s="14"/>
      <c r="J259" s="4" t="s">
        <v>484</v>
      </c>
      <c r="K259" s="246"/>
      <c r="L259" s="217" t="s">
        <v>484</v>
      </c>
      <c r="N259" s="217" t="s">
        <v>484</v>
      </c>
      <c r="P259" s="217" t="s">
        <v>484</v>
      </c>
      <c r="Q259" s="244"/>
    </row>
    <row r="260" spans="1:17" hidden="1" outlineLevel="1">
      <c r="A260" s="243" t="s">
        <v>621</v>
      </c>
      <c r="B260" s="244"/>
      <c r="C260" s="273" t="s">
        <v>414</v>
      </c>
      <c r="D260" s="244"/>
      <c r="E260" s="14"/>
      <c r="F260" s="4" t="s">
        <v>484</v>
      </c>
      <c r="G260" s="14"/>
      <c r="H260" s="4" t="s">
        <v>484</v>
      </c>
      <c r="I260" s="14"/>
      <c r="J260" s="4" t="s">
        <v>484</v>
      </c>
      <c r="K260" s="246"/>
      <c r="L260" s="217" t="s">
        <v>484</v>
      </c>
      <c r="N260" s="217" t="s">
        <v>484</v>
      </c>
      <c r="P260" s="217" t="s">
        <v>484</v>
      </c>
      <c r="Q260" s="244"/>
    </row>
    <row r="261" spans="1:17" hidden="1" outlineLevel="1">
      <c r="A261" s="243" t="s">
        <v>563</v>
      </c>
      <c r="B261" s="244"/>
      <c r="C261" s="273" t="s">
        <v>480</v>
      </c>
      <c r="D261" s="244"/>
      <c r="E261" s="14"/>
      <c r="F261" s="4"/>
      <c r="G261" s="14"/>
      <c r="H261" s="4"/>
      <c r="I261" s="14"/>
      <c r="J261" s="4"/>
      <c r="K261" s="246"/>
      <c r="L261" s="217"/>
      <c r="N261" s="217"/>
      <c r="P261" s="217"/>
      <c r="Q261" s="244"/>
    </row>
    <row r="262" spans="1:17" hidden="1" outlineLevel="1">
      <c r="A262" s="243" t="s">
        <v>162</v>
      </c>
      <c r="B262" s="244"/>
      <c r="C262" s="273" t="s">
        <v>206</v>
      </c>
      <c r="D262" s="244"/>
      <c r="E262" s="14"/>
      <c r="F262" s="4"/>
      <c r="G262" s="14"/>
      <c r="H262" s="4"/>
      <c r="I262" s="14"/>
      <c r="J262" s="4"/>
      <c r="K262" s="246"/>
      <c r="L262" s="217"/>
      <c r="N262" s="217"/>
      <c r="P262" s="217"/>
      <c r="Q262" s="244"/>
    </row>
    <row r="263" spans="1:17" hidden="1" outlineLevel="1">
      <c r="A263" s="243" t="s">
        <v>659</v>
      </c>
      <c r="B263" s="244"/>
      <c r="C263" s="273" t="s">
        <v>660</v>
      </c>
      <c r="D263" s="244"/>
      <c r="E263" s="14"/>
      <c r="F263" s="44"/>
      <c r="G263" s="14"/>
      <c r="H263" s="44"/>
      <c r="I263" s="14"/>
      <c r="J263" s="44"/>
      <c r="K263" s="246"/>
      <c r="L263" s="253"/>
      <c r="M263" s="244"/>
      <c r="N263" s="253"/>
      <c r="O263" s="244"/>
      <c r="P263" s="253"/>
      <c r="Q263" s="244"/>
    </row>
    <row r="264" spans="1:17" hidden="1" outlineLevel="1">
      <c r="A264" s="243" t="s">
        <v>326</v>
      </c>
      <c r="B264" s="244"/>
      <c r="C264" s="273" t="s">
        <v>365</v>
      </c>
      <c r="D264" s="244"/>
      <c r="E264" s="14"/>
      <c r="F264" s="11"/>
      <c r="G264" s="14"/>
      <c r="H264" s="11"/>
      <c r="I264" s="14"/>
      <c r="J264" s="11"/>
      <c r="K264" s="246"/>
      <c r="L264" s="248"/>
      <c r="N264" s="248"/>
      <c r="P264" s="248"/>
      <c r="Q264" s="244"/>
    </row>
    <row r="265" spans="1:17" hidden="1" outlineLevel="1">
      <c r="A265" s="243"/>
      <c r="B265" s="244"/>
      <c r="C265" s="273"/>
      <c r="D265" s="244"/>
      <c r="E265" s="14"/>
      <c r="F265" s="2"/>
      <c r="G265" s="14"/>
      <c r="H265" s="2"/>
      <c r="I265" s="14"/>
      <c r="J265" s="2"/>
      <c r="K265" s="246"/>
      <c r="L265" s="244"/>
    </row>
    <row r="266" spans="1:17" hidden="1" outlineLevel="1">
      <c r="A266" s="243" t="s">
        <v>171</v>
      </c>
      <c r="B266" s="244"/>
      <c r="C266" s="273" t="s">
        <v>8</v>
      </c>
      <c r="D266" s="249"/>
      <c r="E266" s="2"/>
      <c r="F266" s="4" t="s">
        <v>292</v>
      </c>
      <c r="G266" s="2"/>
      <c r="H266" s="4" t="s">
        <v>292</v>
      </c>
      <c r="I266" s="2"/>
      <c r="J266" s="4" t="s">
        <v>292</v>
      </c>
      <c r="K266" s="244"/>
      <c r="L266" s="217" t="s">
        <v>292</v>
      </c>
      <c r="N266" s="217" t="s">
        <v>292</v>
      </c>
      <c r="P266" s="217" t="s">
        <v>292</v>
      </c>
      <c r="Q266" s="244"/>
    </row>
    <row r="267" spans="1:17" s="244" customFormat="1" hidden="1" outlineLevel="1">
      <c r="A267" s="243"/>
      <c r="C267" s="274" t="s">
        <v>170</v>
      </c>
      <c r="D267" s="274"/>
      <c r="E267" s="42"/>
      <c r="F267" s="43"/>
      <c r="G267" s="42"/>
      <c r="H267" s="43"/>
      <c r="I267" s="42"/>
      <c r="J267" s="43"/>
      <c r="K267" s="274"/>
      <c r="L267" s="275"/>
      <c r="N267" s="275"/>
      <c r="P267" s="275"/>
    </row>
    <row r="268" spans="1:17" hidden="1" outlineLevel="1">
      <c r="A268" s="243" t="s">
        <v>415</v>
      </c>
      <c r="B268" s="244"/>
      <c r="C268" s="249" t="s">
        <v>541</v>
      </c>
      <c r="D268" s="249"/>
      <c r="E268" s="2"/>
      <c r="F268" s="4" t="s">
        <v>292</v>
      </c>
      <c r="G268" s="2"/>
      <c r="H268" s="4" t="s">
        <v>292</v>
      </c>
      <c r="I268" s="2"/>
      <c r="J268" s="4" t="s">
        <v>292</v>
      </c>
      <c r="K268" s="244"/>
      <c r="L268" s="217" t="s">
        <v>292</v>
      </c>
      <c r="N268" s="217" t="s">
        <v>292</v>
      </c>
      <c r="P268" s="217" t="s">
        <v>292</v>
      </c>
      <c r="Q268" s="244"/>
    </row>
    <row r="269" spans="1:17" hidden="1" outlineLevel="1">
      <c r="A269" s="243" t="s">
        <v>223</v>
      </c>
      <c r="B269" s="244"/>
      <c r="C269" s="249" t="s">
        <v>9</v>
      </c>
      <c r="D269" s="249"/>
      <c r="E269" s="2"/>
      <c r="F269" s="4" t="s">
        <v>292</v>
      </c>
      <c r="G269" s="2"/>
      <c r="H269" s="4" t="s">
        <v>292</v>
      </c>
      <c r="I269" s="2"/>
      <c r="J269" s="4" t="s">
        <v>292</v>
      </c>
      <c r="K269" s="244"/>
      <c r="L269" s="217" t="s">
        <v>292</v>
      </c>
      <c r="N269" s="217" t="s">
        <v>292</v>
      </c>
      <c r="P269" s="217" t="s">
        <v>292</v>
      </c>
      <c r="Q269" s="244"/>
    </row>
    <row r="270" spans="1:17" hidden="1" outlineLevel="1">
      <c r="A270" s="243" t="s">
        <v>224</v>
      </c>
      <c r="B270" s="244"/>
      <c r="C270" s="249" t="s">
        <v>296</v>
      </c>
      <c r="D270" s="249"/>
      <c r="E270" s="2"/>
      <c r="F270" s="4" t="s">
        <v>292</v>
      </c>
      <c r="G270" s="2"/>
      <c r="H270" s="4" t="s">
        <v>292</v>
      </c>
      <c r="I270" s="2"/>
      <c r="J270" s="4" t="s">
        <v>292</v>
      </c>
      <c r="K270" s="244"/>
      <c r="L270" s="217" t="s">
        <v>292</v>
      </c>
      <c r="N270" s="217" t="s">
        <v>292</v>
      </c>
      <c r="P270" s="217" t="s">
        <v>292</v>
      </c>
      <c r="Q270" s="244"/>
    </row>
    <row r="271" spans="1:17" s="244" customFormat="1" collapsed="1">
      <c r="A271" s="243"/>
      <c r="C271" s="247" t="s">
        <v>542</v>
      </c>
      <c r="D271" s="256"/>
      <c r="E271" s="2"/>
      <c r="F271" s="2"/>
      <c r="G271" s="2"/>
      <c r="H271" s="2"/>
      <c r="I271" s="2"/>
      <c r="J271" s="2"/>
    </row>
    <row r="272" spans="1:17" hidden="1" outlineLevel="1">
      <c r="A272" s="243" t="s">
        <v>543</v>
      </c>
      <c r="B272" s="244"/>
      <c r="C272" s="244" t="s">
        <v>367</v>
      </c>
      <c r="D272" s="244"/>
      <c r="E272" s="14"/>
      <c r="F272" s="37"/>
      <c r="G272" s="14"/>
      <c r="H272" s="37"/>
      <c r="I272" s="14"/>
      <c r="J272" s="37"/>
      <c r="K272" s="246"/>
      <c r="L272" s="237"/>
      <c r="N272" s="237"/>
      <c r="P272" s="237"/>
      <c r="Q272" s="244"/>
    </row>
    <row r="273" spans="1:17" hidden="1" outlineLevel="1">
      <c r="A273" s="243" t="s">
        <v>581</v>
      </c>
      <c r="B273" s="244"/>
      <c r="C273" s="244" t="s">
        <v>129</v>
      </c>
      <c r="D273" s="244"/>
      <c r="E273" s="14"/>
      <c r="F273" s="37"/>
      <c r="G273" s="14"/>
      <c r="H273" s="37"/>
      <c r="I273" s="14"/>
      <c r="J273" s="37"/>
      <c r="K273" s="246"/>
      <c r="L273" s="237"/>
      <c r="N273" s="237"/>
      <c r="P273" s="237"/>
      <c r="Q273" s="244"/>
    </row>
    <row r="274" spans="1:17" hidden="1" outlineLevel="1">
      <c r="A274" s="243" t="s">
        <v>225</v>
      </c>
      <c r="B274" s="244"/>
      <c r="C274" s="244" t="s">
        <v>297</v>
      </c>
      <c r="D274" s="244"/>
      <c r="E274" s="14"/>
      <c r="F274" s="37"/>
      <c r="G274" s="14"/>
      <c r="H274" s="37"/>
      <c r="I274" s="14"/>
      <c r="J274" s="37"/>
      <c r="K274" s="246"/>
      <c r="L274" s="237"/>
      <c r="N274" s="237"/>
      <c r="P274" s="237"/>
      <c r="Q274" s="244"/>
    </row>
    <row r="276" spans="1:17" s="242" customFormat="1">
      <c r="A276" s="239" t="s">
        <v>430</v>
      </c>
      <c r="B276" s="240"/>
      <c r="C276" s="240" t="str">
        <f>"Axiom Query - " &amp; A276</f>
        <v>Axiom Query - [AQ4]</v>
      </c>
      <c r="D276" s="240"/>
      <c r="E276" s="57"/>
      <c r="F276" s="24"/>
      <c r="G276" s="57"/>
      <c r="H276" s="24"/>
      <c r="I276" s="57"/>
      <c r="J276" s="24"/>
      <c r="K276" s="241"/>
      <c r="L276" s="240"/>
      <c r="M276" s="240"/>
      <c r="N276" s="240"/>
      <c r="O276" s="240"/>
      <c r="P276" s="240"/>
      <c r="Q276" s="240"/>
    </row>
    <row r="277" spans="1:17">
      <c r="A277" s="243" t="s">
        <v>491</v>
      </c>
      <c r="B277" s="244"/>
      <c r="C277" s="244" t="s">
        <v>125</v>
      </c>
      <c r="D277" s="244"/>
      <c r="E277" s="33"/>
      <c r="F277" s="4"/>
      <c r="G277" s="33"/>
      <c r="H277" s="4"/>
      <c r="I277" s="33"/>
      <c r="J277" s="4"/>
      <c r="K277" s="226"/>
      <c r="L277" s="217" t="s">
        <v>72</v>
      </c>
      <c r="M277" s="244"/>
      <c r="N277" s="217"/>
      <c r="O277" s="244"/>
      <c r="P277" s="217"/>
      <c r="Q277" s="244"/>
    </row>
    <row r="278" spans="1:17">
      <c r="A278" s="243" t="s">
        <v>572</v>
      </c>
      <c r="B278" s="244"/>
      <c r="C278" s="245" t="s">
        <v>215</v>
      </c>
      <c r="D278" s="245"/>
      <c r="E278" s="14"/>
      <c r="F278" s="4" t="s">
        <v>484</v>
      </c>
      <c r="G278" s="14"/>
      <c r="H278" s="4" t="s">
        <v>484</v>
      </c>
      <c r="I278" s="14"/>
      <c r="J278" s="4" t="s">
        <v>484</v>
      </c>
      <c r="K278" s="246"/>
      <c r="L278" s="217" t="s">
        <v>292</v>
      </c>
      <c r="N278" s="217" t="s">
        <v>484</v>
      </c>
      <c r="P278" s="217" t="s">
        <v>484</v>
      </c>
      <c r="Q278" s="244"/>
    </row>
    <row r="279" spans="1:17">
      <c r="A279" s="243"/>
      <c r="B279" s="244"/>
      <c r="C279" s="247" t="s">
        <v>332</v>
      </c>
      <c r="D279" s="245"/>
      <c r="E279" s="14"/>
      <c r="F279" s="2"/>
      <c r="G279" s="14"/>
      <c r="H279" s="2"/>
      <c r="I279" s="14"/>
      <c r="J279" s="2"/>
      <c r="K279" s="246"/>
      <c r="L279" s="244"/>
      <c r="M279" s="244"/>
      <c r="N279" s="244"/>
      <c r="O279" s="244"/>
      <c r="P279" s="244"/>
      <c r="Q279" s="244"/>
    </row>
    <row r="280" spans="1:17" outlineLevel="1">
      <c r="A280" s="243" t="s">
        <v>536</v>
      </c>
      <c r="B280" s="244"/>
      <c r="C280" s="245" t="s">
        <v>44</v>
      </c>
      <c r="D280" s="245"/>
      <c r="E280" s="14"/>
      <c r="F280" s="11"/>
      <c r="G280" s="14"/>
      <c r="H280" s="11"/>
      <c r="I280" s="14"/>
      <c r="J280" s="11"/>
      <c r="K280" s="246"/>
      <c r="L280" s="248" t="str">
        <f>L212</f>
        <v>ACT2020</v>
      </c>
      <c r="M280" s="244"/>
      <c r="N280" s="248"/>
      <c r="O280" s="244"/>
      <c r="P280" s="248"/>
      <c r="Q280" s="244"/>
    </row>
    <row r="281" spans="1:17" outlineLevel="1">
      <c r="A281" s="243" t="s">
        <v>168</v>
      </c>
      <c r="B281" s="244"/>
      <c r="C281" s="249" t="s">
        <v>255</v>
      </c>
      <c r="D281" s="249"/>
      <c r="E281" s="14"/>
      <c r="F281" s="4"/>
      <c r="G281" s="14"/>
      <c r="H281" s="4"/>
      <c r="I281" s="14"/>
      <c r="J281" s="4"/>
      <c r="K281" s="246"/>
      <c r="L281" s="248" t="str">
        <f>L213</f>
        <v>ACCT.BudgetType;ACCT.RptMap;DEPT.RptMap</v>
      </c>
      <c r="M281" s="244"/>
      <c r="N281" s="217"/>
      <c r="O281" s="244"/>
      <c r="P281" s="217"/>
      <c r="Q281" s="244"/>
    </row>
    <row r="282" spans="1:17" outlineLevel="1">
      <c r="A282" s="243" t="s">
        <v>333</v>
      </c>
      <c r="B282" s="244"/>
      <c r="C282" s="249" t="s">
        <v>492</v>
      </c>
      <c r="D282" s="249"/>
      <c r="E282" s="14"/>
      <c r="F282" s="11" t="str">
        <f>IF(F281="","",F281)</f>
        <v/>
      </c>
      <c r="G282" s="14"/>
      <c r="H282" s="11" t="str">
        <f>IF(H281="","",H281)</f>
        <v/>
      </c>
      <c r="I282" s="14"/>
      <c r="J282" s="11" t="str">
        <f>IF(J281="","",J281)</f>
        <v/>
      </c>
      <c r="K282" s="246"/>
      <c r="L282" s="248" t="str">
        <f>IF(L281="","",L281)</f>
        <v>ACCT.BudgetType;ACCT.RptMap;DEPT.RptMap</v>
      </c>
      <c r="M282" s="244"/>
      <c r="N282" s="248" t="str">
        <f>IF(N281="","",N281)</f>
        <v/>
      </c>
      <c r="O282" s="244"/>
      <c r="P282" s="248" t="str">
        <f>IF(P281="","",P281)</f>
        <v/>
      </c>
      <c r="Q282" s="244"/>
    </row>
    <row r="283" spans="1:17" outlineLevel="1">
      <c r="A283" s="243" t="s">
        <v>293</v>
      </c>
      <c r="B283" s="244"/>
      <c r="C283" s="249" t="s">
        <v>447</v>
      </c>
      <c r="D283" s="249"/>
      <c r="E283" s="14"/>
      <c r="F283" s="4"/>
      <c r="G283" s="14"/>
      <c r="H283" s="4"/>
      <c r="I283" s="14"/>
      <c r="J283" s="4"/>
      <c r="K283" s="246"/>
      <c r="L283" s="217"/>
      <c r="M283" s="244"/>
      <c r="N283" s="217"/>
      <c r="O283" s="244"/>
      <c r="P283" s="217"/>
      <c r="Q283" s="244"/>
    </row>
    <row r="284" spans="1:17" outlineLevel="1">
      <c r="A284" s="243"/>
      <c r="B284" s="244"/>
      <c r="C284" s="247" t="s">
        <v>364</v>
      </c>
      <c r="D284" s="249"/>
      <c r="E284" s="14"/>
      <c r="F284" s="2"/>
      <c r="G284" s="14"/>
      <c r="H284" s="2"/>
      <c r="I284" s="14"/>
      <c r="J284" s="2"/>
      <c r="K284" s="246"/>
      <c r="L284" s="244"/>
      <c r="M284" s="244"/>
      <c r="N284" s="244"/>
      <c r="O284" s="244"/>
      <c r="P284" s="244"/>
      <c r="Q284" s="244"/>
    </row>
    <row r="285" spans="1:17" s="224" customFormat="1" ht="20.399999999999999" outlineLevel="2">
      <c r="A285" s="250" t="s">
        <v>82</v>
      </c>
      <c r="B285" s="251"/>
      <c r="C285" s="249" t="s">
        <v>408</v>
      </c>
      <c r="D285" s="249"/>
      <c r="E285" s="58"/>
      <c r="F285" s="44"/>
      <c r="G285" s="58"/>
      <c r="H285" s="44"/>
      <c r="I285" s="58"/>
      <c r="J285" s="44"/>
      <c r="K285" s="252"/>
      <c r="L285" s="253" t="s">
        <v>562</v>
      </c>
      <c r="M285" s="254"/>
      <c r="N285" s="253"/>
      <c r="O285" s="254"/>
      <c r="P285" s="253"/>
      <c r="Q285" s="255"/>
    </row>
    <row r="286" spans="1:17" outlineLevel="2">
      <c r="A286" s="243" t="s">
        <v>45</v>
      </c>
      <c r="B286" s="244"/>
      <c r="C286" s="249" t="s">
        <v>334</v>
      </c>
      <c r="D286" s="249"/>
      <c r="E286" s="14"/>
      <c r="F286" s="44"/>
      <c r="G286" s="14"/>
      <c r="H286" s="44"/>
      <c r="I286" s="14"/>
      <c r="J286" s="44"/>
      <c r="K286" s="246"/>
      <c r="L286" s="253"/>
      <c r="M286" s="244"/>
      <c r="N286" s="253"/>
      <c r="O286" s="244"/>
      <c r="P286" s="253"/>
      <c r="Q286" s="244"/>
    </row>
    <row r="287" spans="1:17" outlineLevel="2">
      <c r="A287" s="243" t="s">
        <v>46</v>
      </c>
      <c r="B287" s="244"/>
      <c r="C287" s="249" t="s">
        <v>256</v>
      </c>
      <c r="D287" s="249"/>
      <c r="E287" s="14"/>
      <c r="F287" s="44"/>
      <c r="G287" s="14"/>
      <c r="H287" s="44"/>
      <c r="I287" s="14"/>
      <c r="J287" s="44"/>
      <c r="K287" s="246"/>
      <c r="L287" s="253"/>
      <c r="M287" s="244"/>
      <c r="N287" s="253"/>
      <c r="O287" s="244"/>
      <c r="P287" s="253"/>
      <c r="Q287" s="244"/>
    </row>
    <row r="288" spans="1:17" outlineLevel="2">
      <c r="A288" s="243" t="s">
        <v>537</v>
      </c>
      <c r="B288" s="244"/>
      <c r="C288" s="249" t="s">
        <v>216</v>
      </c>
      <c r="D288" s="249"/>
      <c r="E288" s="14"/>
      <c r="F288" s="44"/>
      <c r="G288" s="14"/>
      <c r="H288" s="44"/>
      <c r="I288" s="14"/>
      <c r="J288" s="44"/>
      <c r="K288" s="246"/>
      <c r="L288" s="253"/>
      <c r="M288" s="244"/>
      <c r="N288" s="253"/>
      <c r="O288" s="244"/>
      <c r="P288" s="253"/>
      <c r="Q288" s="244"/>
    </row>
    <row r="289" spans="1:17" outlineLevel="1">
      <c r="A289" s="243" t="s">
        <v>126</v>
      </c>
      <c r="B289" s="244"/>
      <c r="C289" s="244" t="s">
        <v>448</v>
      </c>
      <c r="D289" s="244"/>
      <c r="E289" s="14"/>
      <c r="F289" s="4" t="s">
        <v>484</v>
      </c>
      <c r="G289" s="14"/>
      <c r="H289" s="4" t="s">
        <v>484</v>
      </c>
      <c r="I289" s="14"/>
      <c r="J289" s="4" t="s">
        <v>484</v>
      </c>
      <c r="K289" s="246"/>
      <c r="L289" s="217" t="s">
        <v>484</v>
      </c>
      <c r="N289" s="217" t="s">
        <v>484</v>
      </c>
      <c r="P289" s="217" t="s">
        <v>484</v>
      </c>
      <c r="Q289" s="244"/>
    </row>
    <row r="290" spans="1:17" outlineLevel="1">
      <c r="A290" s="243" t="s">
        <v>47</v>
      </c>
      <c r="B290" s="244"/>
      <c r="C290" s="244" t="s">
        <v>7</v>
      </c>
      <c r="D290" s="249"/>
      <c r="E290" s="2"/>
      <c r="F290" s="4"/>
      <c r="G290" s="2"/>
      <c r="H290" s="4"/>
      <c r="I290" s="2"/>
      <c r="J290" s="4"/>
      <c r="K290" s="244"/>
      <c r="L290" s="217"/>
      <c r="M290" s="244"/>
      <c r="N290" s="217"/>
      <c r="O290" s="244"/>
      <c r="P290" s="217"/>
      <c r="Q290" s="244"/>
    </row>
    <row r="291" spans="1:17" outlineLevel="1">
      <c r="A291" s="243" t="s">
        <v>48</v>
      </c>
      <c r="B291" s="244"/>
      <c r="C291" s="244" t="s">
        <v>83</v>
      </c>
      <c r="D291" s="249"/>
      <c r="E291" s="2"/>
      <c r="F291" s="4"/>
      <c r="G291" s="2"/>
      <c r="H291" s="4"/>
      <c r="I291" s="2"/>
      <c r="J291" s="4"/>
      <c r="K291" s="244"/>
      <c r="L291" s="217"/>
      <c r="M291" s="244"/>
      <c r="N291" s="217"/>
      <c r="O291" s="244"/>
      <c r="P291" s="217"/>
      <c r="Q291" s="244"/>
    </row>
    <row r="292" spans="1:17" outlineLevel="1">
      <c r="A292" s="243" t="s">
        <v>112</v>
      </c>
      <c r="B292" s="244"/>
      <c r="C292" s="244" t="s">
        <v>439</v>
      </c>
      <c r="D292" s="249"/>
      <c r="E292" s="2"/>
      <c r="F292" s="4"/>
      <c r="G292" s="2"/>
      <c r="H292" s="4"/>
      <c r="I292" s="2"/>
      <c r="J292" s="4"/>
      <c r="K292" s="244"/>
      <c r="L292" s="217"/>
      <c r="M292" s="244"/>
      <c r="N292" s="217"/>
      <c r="O292" s="244"/>
      <c r="P292" s="217"/>
      <c r="Q292" s="244"/>
    </row>
    <row r="293" spans="1:17" outlineLevel="1">
      <c r="A293" s="243" t="s">
        <v>284</v>
      </c>
      <c r="B293" s="244"/>
      <c r="C293" s="244" t="s">
        <v>287</v>
      </c>
      <c r="D293" s="249"/>
      <c r="E293" s="2"/>
      <c r="F293" s="4"/>
      <c r="G293" s="2"/>
      <c r="H293" s="4"/>
      <c r="I293" s="2"/>
      <c r="J293" s="4"/>
      <c r="K293" s="244"/>
      <c r="L293" s="217"/>
      <c r="M293" s="244"/>
      <c r="N293" s="217"/>
      <c r="O293" s="244"/>
      <c r="P293" s="217"/>
      <c r="Q293" s="244"/>
    </row>
    <row r="294" spans="1:17" collapsed="1">
      <c r="A294" s="243"/>
      <c r="B294" s="244"/>
      <c r="C294" s="247" t="s">
        <v>257</v>
      </c>
      <c r="D294" s="249"/>
      <c r="E294" s="2"/>
      <c r="F294" s="2"/>
      <c r="G294" s="2"/>
      <c r="H294" s="2"/>
      <c r="I294" s="2"/>
      <c r="J294" s="2"/>
      <c r="K294" s="244"/>
      <c r="L294" s="244"/>
      <c r="M294" s="244"/>
      <c r="N294" s="244"/>
      <c r="O294" s="244"/>
      <c r="P294" s="244"/>
      <c r="Q294" s="244"/>
    </row>
    <row r="295" spans="1:17" hidden="1" outlineLevel="1">
      <c r="A295" s="243" t="s">
        <v>409</v>
      </c>
      <c r="B295" s="244"/>
      <c r="C295" s="249" t="s">
        <v>217</v>
      </c>
      <c r="D295" s="244"/>
      <c r="E295" s="14"/>
      <c r="F295" s="4" t="s">
        <v>615</v>
      </c>
      <c r="G295" s="14"/>
      <c r="H295" s="4" t="s">
        <v>615</v>
      </c>
      <c r="I295" s="14"/>
      <c r="J295" s="4" t="s">
        <v>615</v>
      </c>
      <c r="K295" s="246"/>
      <c r="L295" s="217" t="s">
        <v>615</v>
      </c>
      <c r="N295" s="217" t="s">
        <v>615</v>
      </c>
      <c r="P295" s="217" t="s">
        <v>615</v>
      </c>
      <c r="Q295" s="244"/>
    </row>
    <row r="296" spans="1:17" hidden="1" outlineLevel="1">
      <c r="A296" s="243" t="s">
        <v>218</v>
      </c>
      <c r="B296" s="244"/>
      <c r="C296" s="249" t="s">
        <v>573</v>
      </c>
      <c r="D296" s="244"/>
      <c r="E296" s="14"/>
      <c r="F296" s="4" t="s">
        <v>484</v>
      </c>
      <c r="G296" s="14"/>
      <c r="H296" s="4" t="s">
        <v>484</v>
      </c>
      <c r="I296" s="14"/>
      <c r="J296" s="4" t="s">
        <v>484</v>
      </c>
      <c r="K296" s="246"/>
      <c r="L296" s="217" t="s">
        <v>484</v>
      </c>
      <c r="N296" s="217" t="s">
        <v>484</v>
      </c>
      <c r="P296" s="217" t="s">
        <v>484</v>
      </c>
      <c r="Q296" s="244"/>
    </row>
    <row r="297" spans="1:17" hidden="1" outlineLevel="1">
      <c r="A297" s="243" t="s">
        <v>294</v>
      </c>
      <c r="B297" s="244"/>
      <c r="C297" s="249" t="s">
        <v>493</v>
      </c>
      <c r="D297" s="244"/>
      <c r="E297" s="14"/>
      <c r="F297" s="4" t="s">
        <v>484</v>
      </c>
      <c r="G297" s="14"/>
      <c r="H297" s="4" t="s">
        <v>484</v>
      </c>
      <c r="I297" s="14"/>
      <c r="J297" s="4" t="s">
        <v>484</v>
      </c>
      <c r="K297" s="246"/>
      <c r="L297" s="217" t="s">
        <v>484</v>
      </c>
      <c r="N297" s="217" t="s">
        <v>484</v>
      </c>
      <c r="P297" s="217" t="s">
        <v>484</v>
      </c>
      <c r="Q297" s="244"/>
    </row>
    <row r="298" spans="1:17" hidden="1" outlineLevel="1">
      <c r="A298" s="243" t="s">
        <v>410</v>
      </c>
      <c r="B298" s="244"/>
      <c r="C298" s="249" t="s">
        <v>616</v>
      </c>
      <c r="D298" s="244"/>
      <c r="E298" s="14"/>
      <c r="F298" s="4" t="s">
        <v>292</v>
      </c>
      <c r="G298" s="14"/>
      <c r="H298" s="4" t="s">
        <v>292</v>
      </c>
      <c r="I298" s="14"/>
      <c r="J298" s="4" t="s">
        <v>292</v>
      </c>
      <c r="K298" s="246"/>
      <c r="L298" s="217" t="s">
        <v>484</v>
      </c>
      <c r="N298" s="217" t="s">
        <v>292</v>
      </c>
      <c r="P298" s="217" t="s">
        <v>292</v>
      </c>
      <c r="Q298" s="244"/>
    </row>
    <row r="299" spans="1:17" s="244" customFormat="1" collapsed="1">
      <c r="A299" s="243"/>
      <c r="C299" s="247" t="s">
        <v>295</v>
      </c>
      <c r="D299" s="256"/>
      <c r="E299" s="2"/>
      <c r="F299" s="2"/>
      <c r="G299" s="2"/>
      <c r="H299" s="2"/>
      <c r="I299" s="2"/>
      <c r="J299" s="2"/>
    </row>
    <row r="300" spans="1:17" s="244" customFormat="1" hidden="1" outlineLevel="1">
      <c r="A300" s="243"/>
      <c r="C300" s="257" t="s">
        <v>127</v>
      </c>
      <c r="D300" s="256"/>
      <c r="E300" s="2"/>
      <c r="F300" s="2"/>
      <c r="G300" s="2"/>
      <c r="H300" s="2"/>
      <c r="I300" s="2"/>
      <c r="J300" s="2"/>
    </row>
    <row r="301" spans="1:17" hidden="1" outlineLevel="2">
      <c r="A301" s="243" t="s">
        <v>258</v>
      </c>
      <c r="B301" s="244"/>
      <c r="C301" s="258" t="s">
        <v>219</v>
      </c>
      <c r="D301" s="249"/>
      <c r="E301" s="2"/>
      <c r="F301" s="12" t="s">
        <v>84</v>
      </c>
      <c r="G301" s="2"/>
      <c r="H301" s="12" t="s">
        <v>84</v>
      </c>
      <c r="I301" s="2"/>
      <c r="J301" s="12" t="s">
        <v>84</v>
      </c>
      <c r="K301" s="244"/>
      <c r="L301" s="231" t="s">
        <v>472</v>
      </c>
      <c r="M301" s="259" t="s">
        <v>2</v>
      </c>
      <c r="N301" s="231" t="s">
        <v>84</v>
      </c>
      <c r="O301" s="259" t="s">
        <v>2</v>
      </c>
      <c r="P301" s="231" t="s">
        <v>84</v>
      </c>
      <c r="Q301" s="259" t="s">
        <v>2</v>
      </c>
    </row>
    <row r="302" spans="1:17" hidden="1" outlineLevel="2">
      <c r="A302" s="243" t="s">
        <v>49</v>
      </c>
      <c r="B302" s="244"/>
      <c r="C302" s="258" t="s">
        <v>169</v>
      </c>
      <c r="D302" s="249"/>
      <c r="E302" s="2"/>
      <c r="F302" s="11" t="s">
        <v>494</v>
      </c>
      <c r="G302" s="2"/>
      <c r="H302" s="11" t="s">
        <v>494</v>
      </c>
      <c r="I302" s="2"/>
      <c r="J302" s="11" t="s">
        <v>494</v>
      </c>
      <c r="K302" s="244"/>
      <c r="L302" s="248" t="s">
        <v>494</v>
      </c>
      <c r="M302" s="244"/>
      <c r="N302" s="248" t="s">
        <v>494</v>
      </c>
      <c r="O302" s="244"/>
      <c r="P302" s="248" t="s">
        <v>494</v>
      </c>
      <c r="Q302" s="244"/>
    </row>
    <row r="303" spans="1:17" hidden="1" outlineLevel="2">
      <c r="A303" s="243" t="s">
        <v>411</v>
      </c>
      <c r="B303" s="244"/>
      <c r="C303" s="258" t="s">
        <v>617</v>
      </c>
      <c r="D303" s="249"/>
      <c r="E303" s="2"/>
      <c r="F303" s="4"/>
      <c r="G303" s="2"/>
      <c r="H303" s="4"/>
      <c r="I303" s="2"/>
      <c r="J303" s="4"/>
      <c r="K303" s="244"/>
      <c r="L303" s="217"/>
      <c r="M303" s="244"/>
      <c r="N303" s="217"/>
      <c r="O303" s="244"/>
      <c r="P303" s="217"/>
      <c r="Q303" s="244"/>
    </row>
    <row r="304" spans="1:17" hidden="1" outlineLevel="1">
      <c r="A304" s="243"/>
      <c r="B304" s="244"/>
      <c r="C304" s="257" t="s">
        <v>335</v>
      </c>
      <c r="D304" s="249"/>
      <c r="E304" s="2"/>
      <c r="F304" s="2"/>
      <c r="G304" s="2"/>
      <c r="H304" s="2"/>
      <c r="I304" s="2"/>
      <c r="J304" s="2"/>
      <c r="K304" s="244"/>
      <c r="L304" s="244"/>
      <c r="M304" s="244"/>
      <c r="N304" s="244"/>
      <c r="O304" s="244"/>
      <c r="P304" s="244"/>
      <c r="Q304" s="244"/>
    </row>
    <row r="305" spans="1:17" s="265" customFormat="1" hidden="1" outlineLevel="2">
      <c r="A305" s="260" t="s">
        <v>574</v>
      </c>
      <c r="B305" s="261"/>
      <c r="C305" s="258" t="s">
        <v>259</v>
      </c>
      <c r="D305" s="262"/>
      <c r="E305" s="8"/>
      <c r="F305" s="46" t="s">
        <v>575</v>
      </c>
      <c r="G305" s="8"/>
      <c r="H305" s="46" t="s">
        <v>575</v>
      </c>
      <c r="I305" s="8"/>
      <c r="J305" s="46" t="s">
        <v>575</v>
      </c>
      <c r="K305" s="261"/>
      <c r="L305" s="263" t="s">
        <v>522</v>
      </c>
      <c r="M305" s="264" t="s">
        <v>2</v>
      </c>
      <c r="N305" s="263" t="s">
        <v>575</v>
      </c>
      <c r="O305" s="264" t="s">
        <v>2</v>
      </c>
      <c r="P305" s="263" t="s">
        <v>575</v>
      </c>
    </row>
    <row r="306" spans="1:17" s="261" customFormat="1" hidden="1" outlineLevel="2">
      <c r="A306" s="260"/>
      <c r="C306" s="266" t="s">
        <v>170</v>
      </c>
      <c r="D306" s="266"/>
      <c r="E306" s="27"/>
      <c r="F306" s="25"/>
      <c r="G306" s="27"/>
      <c r="H306" s="25"/>
      <c r="I306" s="27"/>
      <c r="J306" s="25"/>
      <c r="K306" s="266"/>
      <c r="L306" s="267"/>
      <c r="N306" s="267"/>
      <c r="P306" s="267"/>
    </row>
    <row r="307" spans="1:17" s="265" customFormat="1" hidden="1" outlineLevel="2">
      <c r="A307" s="260" t="s">
        <v>412</v>
      </c>
      <c r="B307" s="261"/>
      <c r="C307" s="258" t="s">
        <v>576</v>
      </c>
      <c r="D307" s="262"/>
      <c r="E307" s="8"/>
      <c r="F307" s="26"/>
      <c r="G307" s="8"/>
      <c r="H307" s="26"/>
      <c r="I307" s="8"/>
      <c r="J307" s="26"/>
      <c r="K307" s="261"/>
      <c r="L307" s="268"/>
      <c r="M307" s="261"/>
      <c r="N307" s="268"/>
      <c r="O307" s="261"/>
      <c r="P307" s="268"/>
    </row>
    <row r="308" spans="1:17" s="261" customFormat="1" hidden="1" outlineLevel="2">
      <c r="A308" s="260"/>
      <c r="C308" s="266" t="s">
        <v>538</v>
      </c>
      <c r="D308" s="266"/>
      <c r="E308" s="27"/>
      <c r="F308" s="25"/>
      <c r="G308" s="27"/>
      <c r="H308" s="25"/>
      <c r="I308" s="27"/>
      <c r="J308" s="25"/>
      <c r="K308" s="266"/>
      <c r="L308" s="267"/>
      <c r="N308" s="267"/>
      <c r="P308" s="267"/>
    </row>
    <row r="309" spans="1:17" s="261" customFormat="1" hidden="1" outlineLevel="2">
      <c r="A309" s="260"/>
      <c r="C309" s="258" t="s">
        <v>336</v>
      </c>
      <c r="D309" s="266"/>
      <c r="E309" s="27"/>
      <c r="F309" s="25"/>
      <c r="G309" s="27"/>
      <c r="H309" s="25"/>
      <c r="I309" s="27"/>
      <c r="J309" s="25"/>
      <c r="K309" s="266"/>
      <c r="L309" s="267"/>
      <c r="N309" s="267"/>
      <c r="P309" s="267"/>
    </row>
    <row r="310" spans="1:17" s="265" customFormat="1" hidden="1" outlineLevel="2">
      <c r="A310" s="260" t="s">
        <v>413</v>
      </c>
      <c r="B310" s="261"/>
      <c r="C310" s="269" t="s">
        <v>577</v>
      </c>
      <c r="D310" s="262"/>
      <c r="E310" s="8"/>
      <c r="F310" s="47"/>
      <c r="G310" s="8"/>
      <c r="H310" s="47"/>
      <c r="I310" s="8"/>
      <c r="J310" s="47"/>
      <c r="K310" s="261"/>
      <c r="L310" s="270"/>
      <c r="M310" s="261"/>
      <c r="N310" s="270"/>
      <c r="O310" s="261"/>
      <c r="P310" s="270"/>
    </row>
    <row r="311" spans="1:17" s="265" customFormat="1" hidden="1" outlineLevel="2">
      <c r="A311" s="260" t="s">
        <v>618</v>
      </c>
      <c r="B311" s="261"/>
      <c r="C311" s="269" t="s">
        <v>495</v>
      </c>
      <c r="D311" s="262"/>
      <c r="E311" s="8"/>
      <c r="F311" s="47"/>
      <c r="G311" s="8"/>
      <c r="H311" s="47"/>
      <c r="I311" s="8"/>
      <c r="J311" s="47"/>
      <c r="K311" s="261"/>
      <c r="L311" s="270"/>
      <c r="M311" s="261"/>
      <c r="N311" s="270"/>
      <c r="O311" s="261"/>
      <c r="P311" s="270"/>
    </row>
    <row r="312" spans="1:17" s="265" customFormat="1" hidden="1" outlineLevel="2">
      <c r="A312" s="260" t="s">
        <v>539</v>
      </c>
      <c r="B312" s="261"/>
      <c r="C312" s="269" t="s">
        <v>496</v>
      </c>
      <c r="D312" s="262"/>
      <c r="E312" s="8"/>
      <c r="F312" s="47"/>
      <c r="G312" s="8"/>
      <c r="H312" s="47"/>
      <c r="I312" s="8"/>
      <c r="J312" s="47"/>
      <c r="K312" s="261"/>
      <c r="L312" s="270"/>
      <c r="M312" s="261"/>
      <c r="N312" s="270"/>
      <c r="O312" s="261"/>
      <c r="P312" s="270"/>
    </row>
    <row r="313" spans="1:17" s="265" customFormat="1" hidden="1" outlineLevel="2">
      <c r="A313" s="260" t="s">
        <v>220</v>
      </c>
      <c r="B313" s="261"/>
      <c r="C313" s="269" t="s">
        <v>619</v>
      </c>
      <c r="D313" s="262"/>
      <c r="E313" s="8"/>
      <c r="F313" s="47"/>
      <c r="G313" s="8"/>
      <c r="H313" s="47"/>
      <c r="I313" s="8"/>
      <c r="J313" s="47"/>
      <c r="K313" s="261"/>
      <c r="L313" s="270"/>
      <c r="M313" s="261"/>
      <c r="N313" s="270"/>
      <c r="O313" s="261"/>
      <c r="P313" s="270"/>
    </row>
    <row r="314" spans="1:17" s="261" customFormat="1" hidden="1" outlineLevel="2">
      <c r="A314" s="260"/>
      <c r="C314" s="271"/>
      <c r="D314" s="271"/>
      <c r="E314" s="8"/>
      <c r="F314" s="8"/>
      <c r="G314" s="8"/>
      <c r="H314" s="8"/>
      <c r="I314" s="8"/>
      <c r="J314" s="8"/>
    </row>
    <row r="315" spans="1:17" s="265" customFormat="1" hidden="1" outlineLevel="2">
      <c r="A315" s="260" t="s">
        <v>85</v>
      </c>
      <c r="B315" s="261"/>
      <c r="C315" s="272" t="s">
        <v>128</v>
      </c>
      <c r="D315" s="262"/>
      <c r="E315" s="8"/>
      <c r="F315" s="26"/>
      <c r="G315" s="8"/>
      <c r="H315" s="26"/>
      <c r="I315" s="8"/>
      <c r="J315" s="26"/>
      <c r="K315" s="261"/>
      <c r="L315" s="268"/>
      <c r="M315" s="261"/>
      <c r="N315" s="268"/>
      <c r="O315" s="261"/>
      <c r="P315" s="268"/>
    </row>
    <row r="316" spans="1:17" collapsed="1">
      <c r="A316" s="243"/>
      <c r="B316" s="244"/>
      <c r="C316" s="247" t="s">
        <v>337</v>
      </c>
      <c r="D316" s="249"/>
      <c r="E316" s="2"/>
      <c r="F316" s="2"/>
      <c r="G316" s="2"/>
      <c r="H316" s="2"/>
      <c r="I316" s="2"/>
      <c r="J316" s="2"/>
      <c r="K316" s="244"/>
      <c r="L316" s="244"/>
      <c r="M316" s="244"/>
      <c r="N316" s="244"/>
      <c r="O316" s="244"/>
      <c r="P316" s="244"/>
      <c r="Q316" s="244"/>
    </row>
    <row r="317" spans="1:17" hidden="1" outlineLevel="1">
      <c r="A317" s="243"/>
      <c r="B317" s="244"/>
      <c r="C317" s="245" t="s">
        <v>86</v>
      </c>
      <c r="D317" s="249"/>
      <c r="E317" s="2"/>
      <c r="F317" s="2"/>
      <c r="G317" s="2"/>
      <c r="H317" s="2"/>
      <c r="I317" s="2"/>
      <c r="J317" s="2"/>
      <c r="K317" s="244"/>
      <c r="L317" s="244"/>
      <c r="M317" s="244"/>
      <c r="N317" s="244"/>
      <c r="O317" s="244"/>
      <c r="P317" s="244"/>
      <c r="Q317" s="244"/>
    </row>
    <row r="318" spans="1:17" hidden="1" outlineLevel="1">
      <c r="A318" s="243" t="s">
        <v>578</v>
      </c>
      <c r="B318" s="244"/>
      <c r="C318" s="249" t="s">
        <v>260</v>
      </c>
      <c r="D318" s="249"/>
      <c r="E318" s="2"/>
      <c r="F318" s="12" t="s">
        <v>2</v>
      </c>
      <c r="G318" s="2"/>
      <c r="H318" s="12" t="s">
        <v>2</v>
      </c>
      <c r="I318" s="2"/>
      <c r="J318" s="12" t="s">
        <v>2</v>
      </c>
      <c r="K318" s="244"/>
      <c r="L318" s="231" t="s">
        <v>2</v>
      </c>
      <c r="M318" s="259" t="s">
        <v>2</v>
      </c>
      <c r="N318" s="231" t="s">
        <v>2</v>
      </c>
      <c r="O318" s="259" t="s">
        <v>2</v>
      </c>
      <c r="P318" s="231" t="s">
        <v>2</v>
      </c>
      <c r="Q318" s="259" t="s">
        <v>2</v>
      </c>
    </row>
    <row r="319" spans="1:17" hidden="1" outlineLevel="1">
      <c r="A319" s="243" t="s">
        <v>261</v>
      </c>
      <c r="B319" s="244"/>
      <c r="C319" s="249" t="s">
        <v>620</v>
      </c>
      <c r="D319" s="249"/>
      <c r="E319" s="2"/>
      <c r="F319" s="12" t="s">
        <v>2</v>
      </c>
      <c r="G319" s="2"/>
      <c r="H319" s="12" t="s">
        <v>2</v>
      </c>
      <c r="I319" s="2"/>
      <c r="J319" s="12" t="s">
        <v>2</v>
      </c>
      <c r="K319" s="244"/>
      <c r="L319" s="231" t="s">
        <v>2</v>
      </c>
      <c r="M319" s="244"/>
      <c r="N319" s="231" t="s">
        <v>2</v>
      </c>
      <c r="O319" s="244"/>
      <c r="P319" s="231" t="s">
        <v>2</v>
      </c>
      <c r="Q319" s="244"/>
    </row>
    <row r="320" spans="1:17" s="244" customFormat="1" hidden="1" outlineLevel="1">
      <c r="A320" s="243"/>
      <c r="C320" s="245" t="s">
        <v>50</v>
      </c>
      <c r="D320" s="256"/>
      <c r="E320" s="2"/>
      <c r="F320" s="2"/>
      <c r="G320" s="2"/>
      <c r="H320" s="2"/>
      <c r="I320" s="2"/>
      <c r="J320" s="2"/>
    </row>
    <row r="321" spans="1:17" hidden="1" outlineLevel="1">
      <c r="A321" s="243" t="s">
        <v>579</v>
      </c>
      <c r="B321" s="244"/>
      <c r="C321" s="249" t="s">
        <v>221</v>
      </c>
      <c r="D321" s="249"/>
      <c r="E321" s="2"/>
      <c r="F321" s="12" t="s">
        <v>2</v>
      </c>
      <c r="G321" s="2"/>
      <c r="H321" s="12" t="s">
        <v>2</v>
      </c>
      <c r="I321" s="2"/>
      <c r="J321" s="12" t="s">
        <v>2</v>
      </c>
      <c r="K321" s="244"/>
      <c r="L321" s="231" t="s">
        <v>2</v>
      </c>
      <c r="M321" s="259" t="s">
        <v>2</v>
      </c>
      <c r="N321" s="231" t="s">
        <v>2</v>
      </c>
      <c r="O321" s="259" t="s">
        <v>2</v>
      </c>
      <c r="P321" s="231" t="s">
        <v>2</v>
      </c>
      <c r="Q321" s="259" t="s">
        <v>2</v>
      </c>
    </row>
    <row r="322" spans="1:17" s="244" customFormat="1" collapsed="1">
      <c r="A322" s="243"/>
      <c r="C322" s="247" t="s">
        <v>580</v>
      </c>
      <c r="D322" s="256"/>
      <c r="E322" s="2"/>
      <c r="F322" s="2"/>
      <c r="G322" s="2"/>
      <c r="H322" s="2"/>
      <c r="I322" s="2"/>
      <c r="J322" s="2"/>
    </row>
    <row r="323" spans="1:17" hidden="1" outlineLevel="1">
      <c r="A323" s="243" t="s">
        <v>222</v>
      </c>
      <c r="B323" s="244"/>
      <c r="C323" s="273" t="s">
        <v>262</v>
      </c>
      <c r="D323" s="244"/>
      <c r="E323" s="14"/>
      <c r="F323" s="4" t="s">
        <v>292</v>
      </c>
      <c r="G323" s="14"/>
      <c r="H323" s="4" t="s">
        <v>292</v>
      </c>
      <c r="I323" s="14"/>
      <c r="J323" s="4" t="s">
        <v>292</v>
      </c>
      <c r="K323" s="246"/>
      <c r="L323" s="217" t="s">
        <v>292</v>
      </c>
      <c r="N323" s="217" t="s">
        <v>292</v>
      </c>
      <c r="P323" s="217" t="s">
        <v>292</v>
      </c>
      <c r="Q323" s="244"/>
    </row>
    <row r="324" spans="1:17" hidden="1" outlineLevel="1">
      <c r="A324" s="243" t="s">
        <v>540</v>
      </c>
      <c r="B324" s="244"/>
      <c r="C324" s="273" t="s">
        <v>51</v>
      </c>
      <c r="D324" s="244"/>
      <c r="E324" s="14"/>
      <c r="F324" s="4" t="s">
        <v>292</v>
      </c>
      <c r="G324" s="14"/>
      <c r="H324" s="4" t="s">
        <v>292</v>
      </c>
      <c r="I324" s="14"/>
      <c r="J324" s="4" t="s">
        <v>292</v>
      </c>
      <c r="K324" s="246"/>
      <c r="L324" s="217" t="s">
        <v>292</v>
      </c>
      <c r="N324" s="217" t="s">
        <v>292</v>
      </c>
      <c r="P324" s="217" t="s">
        <v>292</v>
      </c>
      <c r="Q324" s="244"/>
    </row>
    <row r="325" spans="1:17" hidden="1" outlineLevel="1">
      <c r="A325" s="243" t="s">
        <v>397</v>
      </c>
      <c r="B325" s="244"/>
      <c r="C325" s="273" t="s">
        <v>399</v>
      </c>
      <c r="D325" s="244"/>
      <c r="E325" s="14"/>
      <c r="F325" s="4"/>
      <c r="G325" s="14"/>
      <c r="H325" s="4"/>
      <c r="I325" s="14"/>
      <c r="J325" s="4"/>
      <c r="K325" s="246"/>
      <c r="L325" s="217"/>
      <c r="N325" s="217"/>
      <c r="P325" s="217"/>
      <c r="Q325" s="244"/>
    </row>
    <row r="326" spans="1:17" hidden="1" outlineLevel="1">
      <c r="A326" s="243" t="s">
        <v>449</v>
      </c>
      <c r="B326" s="244"/>
      <c r="C326" s="273" t="s">
        <v>497</v>
      </c>
      <c r="D326" s="244"/>
      <c r="E326" s="14"/>
      <c r="F326" s="4" t="s">
        <v>484</v>
      </c>
      <c r="G326" s="14"/>
      <c r="H326" s="4" t="s">
        <v>484</v>
      </c>
      <c r="I326" s="14"/>
      <c r="J326" s="4" t="s">
        <v>484</v>
      </c>
      <c r="K326" s="246"/>
      <c r="L326" s="217" t="s">
        <v>484</v>
      </c>
      <c r="N326" s="217" t="s">
        <v>484</v>
      </c>
      <c r="P326" s="217" t="s">
        <v>484</v>
      </c>
      <c r="Q326" s="244"/>
    </row>
    <row r="327" spans="1:17" hidden="1" outlineLevel="1">
      <c r="A327" s="243" t="s">
        <v>450</v>
      </c>
      <c r="B327" s="244"/>
      <c r="C327" s="273" t="s">
        <v>498</v>
      </c>
      <c r="D327" s="244"/>
      <c r="E327" s="14"/>
      <c r="F327" s="4" t="s">
        <v>484</v>
      </c>
      <c r="G327" s="14"/>
      <c r="H327" s="4" t="s">
        <v>484</v>
      </c>
      <c r="I327" s="14"/>
      <c r="J327" s="4" t="s">
        <v>484</v>
      </c>
      <c r="K327" s="246"/>
      <c r="L327" s="217" t="s">
        <v>484</v>
      </c>
      <c r="N327" s="217" t="s">
        <v>484</v>
      </c>
      <c r="P327" s="217" t="s">
        <v>484</v>
      </c>
      <c r="Q327" s="244"/>
    </row>
    <row r="328" spans="1:17" hidden="1" outlineLevel="1">
      <c r="A328" s="243" t="s">
        <v>621</v>
      </c>
      <c r="B328" s="244"/>
      <c r="C328" s="273" t="s">
        <v>414</v>
      </c>
      <c r="D328" s="244"/>
      <c r="E328" s="14"/>
      <c r="F328" s="4" t="s">
        <v>484</v>
      </c>
      <c r="G328" s="14"/>
      <c r="H328" s="4" t="s">
        <v>484</v>
      </c>
      <c r="I328" s="14"/>
      <c r="J328" s="4" t="s">
        <v>484</v>
      </c>
      <c r="K328" s="246"/>
      <c r="L328" s="217" t="s">
        <v>484</v>
      </c>
      <c r="N328" s="217" t="s">
        <v>484</v>
      </c>
      <c r="P328" s="217" t="s">
        <v>484</v>
      </c>
      <c r="Q328" s="244"/>
    </row>
    <row r="329" spans="1:17" hidden="1" outlineLevel="1">
      <c r="A329" s="243" t="s">
        <v>563</v>
      </c>
      <c r="B329" s="244"/>
      <c r="C329" s="273" t="s">
        <v>480</v>
      </c>
      <c r="D329" s="244"/>
      <c r="E329" s="14"/>
      <c r="F329" s="4"/>
      <c r="G329" s="14"/>
      <c r="H329" s="4"/>
      <c r="I329" s="14"/>
      <c r="J329" s="4"/>
      <c r="K329" s="246"/>
      <c r="L329" s="217"/>
      <c r="N329" s="217"/>
      <c r="P329" s="217"/>
      <c r="Q329" s="244"/>
    </row>
    <row r="330" spans="1:17" hidden="1" outlineLevel="1">
      <c r="A330" s="243" t="s">
        <v>162</v>
      </c>
      <c r="B330" s="244"/>
      <c r="C330" s="273" t="s">
        <v>206</v>
      </c>
      <c r="D330" s="244"/>
      <c r="E330" s="14"/>
      <c r="F330" s="4"/>
      <c r="G330" s="14"/>
      <c r="H330" s="4"/>
      <c r="I330" s="14"/>
      <c r="J330" s="4"/>
      <c r="K330" s="246"/>
      <c r="L330" s="217"/>
      <c r="N330" s="217"/>
      <c r="P330" s="217"/>
      <c r="Q330" s="244"/>
    </row>
    <row r="331" spans="1:17" hidden="1" outlineLevel="1">
      <c r="A331" s="243" t="s">
        <v>659</v>
      </c>
      <c r="B331" s="244"/>
      <c r="C331" s="273" t="s">
        <v>660</v>
      </c>
      <c r="D331" s="244"/>
      <c r="E331" s="14"/>
      <c r="F331" s="44"/>
      <c r="G331" s="14"/>
      <c r="H331" s="44"/>
      <c r="I331" s="14"/>
      <c r="J331" s="44"/>
      <c r="K331" s="246"/>
      <c r="L331" s="253"/>
      <c r="M331" s="244"/>
      <c r="N331" s="253"/>
      <c r="O331" s="244"/>
      <c r="P331" s="253"/>
      <c r="Q331" s="244"/>
    </row>
    <row r="332" spans="1:17" hidden="1" outlineLevel="1">
      <c r="A332" s="243" t="s">
        <v>326</v>
      </c>
      <c r="B332" s="244"/>
      <c r="C332" s="273" t="s">
        <v>365</v>
      </c>
      <c r="D332" s="244"/>
      <c r="E332" s="14"/>
      <c r="F332" s="11"/>
      <c r="G332" s="14"/>
      <c r="H332" s="11"/>
      <c r="I332" s="14"/>
      <c r="J332" s="11"/>
      <c r="K332" s="246"/>
      <c r="L332" s="248"/>
      <c r="N332" s="248"/>
      <c r="P332" s="248"/>
      <c r="Q332" s="244"/>
    </row>
    <row r="333" spans="1:17" hidden="1" outlineLevel="1">
      <c r="A333" s="243"/>
      <c r="B333" s="244"/>
      <c r="C333" s="273"/>
      <c r="D333" s="244"/>
      <c r="E333" s="14"/>
      <c r="F333" s="2"/>
      <c r="G333" s="14"/>
      <c r="H333" s="2"/>
      <c r="I333" s="14"/>
      <c r="J333" s="2"/>
      <c r="K333" s="246"/>
      <c r="L333" s="244"/>
    </row>
    <row r="334" spans="1:17" hidden="1" outlineLevel="1">
      <c r="A334" s="243" t="s">
        <v>171</v>
      </c>
      <c r="B334" s="244"/>
      <c r="C334" s="273" t="s">
        <v>8</v>
      </c>
      <c r="D334" s="249"/>
      <c r="E334" s="2"/>
      <c r="F334" s="4" t="s">
        <v>292</v>
      </c>
      <c r="G334" s="2"/>
      <c r="H334" s="4" t="s">
        <v>292</v>
      </c>
      <c r="I334" s="2"/>
      <c r="J334" s="4" t="s">
        <v>292</v>
      </c>
      <c r="K334" s="244"/>
      <c r="L334" s="217" t="s">
        <v>292</v>
      </c>
      <c r="N334" s="217" t="s">
        <v>292</v>
      </c>
      <c r="P334" s="217" t="s">
        <v>292</v>
      </c>
      <c r="Q334" s="244"/>
    </row>
    <row r="335" spans="1:17" s="244" customFormat="1" hidden="1" outlineLevel="1">
      <c r="A335" s="243"/>
      <c r="C335" s="274" t="s">
        <v>170</v>
      </c>
      <c r="D335" s="274"/>
      <c r="E335" s="42"/>
      <c r="F335" s="43"/>
      <c r="G335" s="42"/>
      <c r="H335" s="43"/>
      <c r="I335" s="42"/>
      <c r="J335" s="43"/>
      <c r="K335" s="274"/>
      <c r="L335" s="275"/>
      <c r="N335" s="275"/>
      <c r="P335" s="275"/>
    </row>
    <row r="336" spans="1:17" hidden="1" outlineLevel="1">
      <c r="A336" s="243" t="s">
        <v>415</v>
      </c>
      <c r="B336" s="244"/>
      <c r="C336" s="249" t="s">
        <v>541</v>
      </c>
      <c r="D336" s="249"/>
      <c r="E336" s="2"/>
      <c r="F336" s="4" t="s">
        <v>292</v>
      </c>
      <c r="G336" s="2"/>
      <c r="H336" s="4" t="s">
        <v>292</v>
      </c>
      <c r="I336" s="2"/>
      <c r="J336" s="4" t="s">
        <v>292</v>
      </c>
      <c r="K336" s="244"/>
      <c r="L336" s="217" t="s">
        <v>292</v>
      </c>
      <c r="N336" s="217" t="s">
        <v>292</v>
      </c>
      <c r="P336" s="217" t="s">
        <v>292</v>
      </c>
      <c r="Q336" s="244"/>
    </row>
    <row r="337" spans="1:17" hidden="1" outlineLevel="1">
      <c r="A337" s="243" t="s">
        <v>223</v>
      </c>
      <c r="B337" s="244"/>
      <c r="C337" s="249" t="s">
        <v>9</v>
      </c>
      <c r="D337" s="249"/>
      <c r="E337" s="2"/>
      <c r="F337" s="4" t="s">
        <v>292</v>
      </c>
      <c r="G337" s="2"/>
      <c r="H337" s="4" t="s">
        <v>292</v>
      </c>
      <c r="I337" s="2"/>
      <c r="J337" s="4" t="s">
        <v>292</v>
      </c>
      <c r="K337" s="244"/>
      <c r="L337" s="217" t="s">
        <v>292</v>
      </c>
      <c r="N337" s="217" t="s">
        <v>292</v>
      </c>
      <c r="P337" s="217" t="s">
        <v>292</v>
      </c>
      <c r="Q337" s="244"/>
    </row>
    <row r="338" spans="1:17" hidden="1" outlineLevel="1">
      <c r="A338" s="243" t="s">
        <v>224</v>
      </c>
      <c r="B338" s="244"/>
      <c r="C338" s="249" t="s">
        <v>296</v>
      </c>
      <c r="D338" s="249"/>
      <c r="E338" s="2"/>
      <c r="F338" s="4" t="s">
        <v>292</v>
      </c>
      <c r="G338" s="2"/>
      <c r="H338" s="4" t="s">
        <v>292</v>
      </c>
      <c r="I338" s="2"/>
      <c r="J338" s="4" t="s">
        <v>292</v>
      </c>
      <c r="K338" s="244"/>
      <c r="L338" s="217" t="s">
        <v>292</v>
      </c>
      <c r="N338" s="217" t="s">
        <v>292</v>
      </c>
      <c r="P338" s="217" t="s">
        <v>292</v>
      </c>
      <c r="Q338" s="244"/>
    </row>
    <row r="339" spans="1:17" s="244" customFormat="1" collapsed="1">
      <c r="A339" s="243"/>
      <c r="C339" s="247" t="s">
        <v>542</v>
      </c>
      <c r="D339" s="256"/>
      <c r="E339" s="2"/>
      <c r="F339" s="2"/>
      <c r="G339" s="2"/>
      <c r="H339" s="2"/>
      <c r="I339" s="2"/>
      <c r="J339" s="2"/>
    </row>
    <row r="340" spans="1:17" hidden="1" outlineLevel="1">
      <c r="A340" s="243" t="s">
        <v>543</v>
      </c>
      <c r="B340" s="244"/>
      <c r="C340" s="244" t="s">
        <v>367</v>
      </c>
      <c r="D340" s="244"/>
      <c r="E340" s="14"/>
      <c r="F340" s="37"/>
      <c r="G340" s="14"/>
      <c r="H340" s="37"/>
      <c r="I340" s="14"/>
      <c r="J340" s="37"/>
      <c r="K340" s="246"/>
      <c r="L340" s="237"/>
      <c r="N340" s="237"/>
      <c r="P340" s="237"/>
      <c r="Q340" s="244"/>
    </row>
    <row r="341" spans="1:17" hidden="1" outlineLevel="1">
      <c r="A341" s="243" t="s">
        <v>581</v>
      </c>
      <c r="B341" s="244"/>
      <c r="C341" s="244" t="s">
        <v>129</v>
      </c>
      <c r="D341" s="244"/>
      <c r="E341" s="14"/>
      <c r="F341" s="37"/>
      <c r="G341" s="14"/>
      <c r="H341" s="37"/>
      <c r="I341" s="14"/>
      <c r="J341" s="37"/>
      <c r="K341" s="246"/>
      <c r="L341" s="237"/>
      <c r="N341" s="237"/>
      <c r="P341" s="237"/>
      <c r="Q341" s="244"/>
    </row>
    <row r="342" spans="1:17" hidden="1" outlineLevel="1">
      <c r="A342" s="243" t="s">
        <v>225</v>
      </c>
      <c r="B342" s="244"/>
      <c r="C342" s="244" t="s">
        <v>297</v>
      </c>
      <c r="D342" s="244"/>
      <c r="E342" s="14"/>
      <c r="F342" s="37"/>
      <c r="G342" s="14"/>
      <c r="H342" s="37"/>
      <c r="I342" s="14"/>
      <c r="J342" s="37"/>
      <c r="K342" s="246"/>
      <c r="L342" s="237"/>
      <c r="N342" s="237"/>
      <c r="P342" s="237"/>
      <c r="Q342" s="244"/>
    </row>
    <row r="344" spans="1:17" s="242" customFormat="1">
      <c r="A344" s="239" t="s">
        <v>279</v>
      </c>
      <c r="B344" s="240"/>
      <c r="C344" s="240" t="str">
        <f>"Axiom Query - " &amp; A344</f>
        <v>Axiom Query - [AQ5]</v>
      </c>
      <c r="D344" s="240"/>
      <c r="E344" s="57"/>
      <c r="F344" s="24"/>
      <c r="G344" s="57"/>
      <c r="H344" s="24"/>
      <c r="I344" s="57"/>
      <c r="J344" s="24"/>
      <c r="K344" s="241"/>
      <c r="L344" s="240"/>
      <c r="M344" s="240"/>
      <c r="N344" s="240"/>
      <c r="O344" s="240"/>
      <c r="P344" s="240"/>
      <c r="Q344" s="240"/>
    </row>
    <row r="345" spans="1:17">
      <c r="A345" s="243" t="s">
        <v>491</v>
      </c>
      <c r="B345" s="244"/>
      <c r="C345" s="244" t="s">
        <v>125</v>
      </c>
      <c r="D345" s="244"/>
      <c r="E345" s="33"/>
      <c r="F345" s="4"/>
      <c r="G345" s="33"/>
      <c r="H345" s="4"/>
      <c r="I345" s="33"/>
      <c r="J345" s="4"/>
      <c r="K345" s="226"/>
      <c r="L345" s="217" t="s">
        <v>682</v>
      </c>
      <c r="M345" s="244"/>
      <c r="N345" s="217"/>
      <c r="O345" s="244"/>
      <c r="P345" s="217"/>
      <c r="Q345" s="244"/>
    </row>
    <row r="346" spans="1:17">
      <c r="A346" s="243" t="s">
        <v>572</v>
      </c>
      <c r="B346" s="244"/>
      <c r="C346" s="245" t="s">
        <v>215</v>
      </c>
      <c r="D346" s="245"/>
      <c r="E346" s="14"/>
      <c r="F346" s="4" t="s">
        <v>484</v>
      </c>
      <c r="G346" s="14"/>
      <c r="H346" s="4" t="s">
        <v>484</v>
      </c>
      <c r="I346" s="14"/>
      <c r="J346" s="4" t="s">
        <v>484</v>
      </c>
      <c r="K346" s="246"/>
      <c r="L346" s="217" t="s">
        <v>292</v>
      </c>
      <c r="N346" s="217" t="s">
        <v>484</v>
      </c>
      <c r="P346" s="217" t="s">
        <v>484</v>
      </c>
      <c r="Q346" s="244"/>
    </row>
    <row r="347" spans="1:17">
      <c r="A347" s="243"/>
      <c r="B347" s="244"/>
      <c r="C347" s="247" t="s">
        <v>332</v>
      </c>
      <c r="D347" s="245"/>
      <c r="E347" s="14"/>
      <c r="F347" s="2"/>
      <c r="G347" s="14"/>
      <c r="H347" s="2"/>
      <c r="I347" s="14"/>
      <c r="J347" s="2"/>
      <c r="K347" s="246"/>
      <c r="L347" s="244"/>
      <c r="M347" s="244"/>
      <c r="N347" s="244"/>
      <c r="O347" s="244"/>
      <c r="P347" s="244"/>
      <c r="Q347" s="244"/>
    </row>
    <row r="348" spans="1:17" outlineLevel="1">
      <c r="A348" s="243" t="s">
        <v>536</v>
      </c>
      <c r="B348" s="244"/>
      <c r="C348" s="245" t="s">
        <v>44</v>
      </c>
      <c r="D348" s="245"/>
      <c r="E348" s="14"/>
      <c r="F348" s="11"/>
      <c r="G348" s="14"/>
      <c r="H348" s="11"/>
      <c r="I348" s="14"/>
      <c r="J348" s="11"/>
      <c r="K348" s="246"/>
      <c r="L348" s="248" t="str">
        <f>L280</f>
        <v>ACT2020</v>
      </c>
      <c r="M348" s="244"/>
      <c r="N348" s="248"/>
      <c r="O348" s="244"/>
      <c r="P348" s="248"/>
      <c r="Q348" s="244"/>
    </row>
    <row r="349" spans="1:17" outlineLevel="1">
      <c r="A349" s="243" t="s">
        <v>168</v>
      </c>
      <c r="B349" s="244"/>
      <c r="C349" s="249" t="s">
        <v>255</v>
      </c>
      <c r="D349" s="249"/>
      <c r="E349" s="14"/>
      <c r="F349" s="4"/>
      <c r="G349" s="14"/>
      <c r="H349" s="4"/>
      <c r="I349" s="14"/>
      <c r="J349" s="4"/>
      <c r="K349" s="246"/>
      <c r="L349" s="248" t="str">
        <f>L281</f>
        <v>ACCT.BudgetType;ACCT.RptMap;DEPT.RptMap</v>
      </c>
      <c r="M349" s="244"/>
      <c r="N349" s="217"/>
      <c r="O349" s="244"/>
      <c r="P349" s="217"/>
      <c r="Q349" s="244"/>
    </row>
    <row r="350" spans="1:17" outlineLevel="1">
      <c r="A350" s="243" t="s">
        <v>333</v>
      </c>
      <c r="B350" s="244"/>
      <c r="C350" s="249" t="s">
        <v>492</v>
      </c>
      <c r="D350" s="249"/>
      <c r="E350" s="14"/>
      <c r="F350" s="11" t="str">
        <f>IF(F349="","",F349)</f>
        <v/>
      </c>
      <c r="G350" s="14"/>
      <c r="H350" s="11" t="str">
        <f>IF(H349="","",H349)</f>
        <v/>
      </c>
      <c r="I350" s="14"/>
      <c r="J350" s="11" t="str">
        <f>IF(J349="","",J349)</f>
        <v/>
      </c>
      <c r="K350" s="246"/>
      <c r="L350" s="248" t="str">
        <f>IF(L349="","",L349)</f>
        <v>ACCT.BudgetType;ACCT.RptMap;DEPT.RptMap</v>
      </c>
      <c r="M350" s="244"/>
      <c r="N350" s="248" t="str">
        <f>IF(N349="","",N349)</f>
        <v/>
      </c>
      <c r="O350" s="244"/>
      <c r="P350" s="248" t="str">
        <f>IF(P349="","",P349)</f>
        <v/>
      </c>
      <c r="Q350" s="244"/>
    </row>
    <row r="351" spans="1:17" outlineLevel="1">
      <c r="A351" s="243" t="s">
        <v>293</v>
      </c>
      <c r="B351" s="244"/>
      <c r="C351" s="249" t="s">
        <v>447</v>
      </c>
      <c r="D351" s="249"/>
      <c r="E351" s="14"/>
      <c r="F351" s="4"/>
      <c r="G351" s="14"/>
      <c r="H351" s="4"/>
      <c r="I351" s="14"/>
      <c r="J351" s="4"/>
      <c r="K351" s="246"/>
      <c r="L351" s="217"/>
      <c r="M351" s="244"/>
      <c r="N351" s="217"/>
      <c r="O351" s="244"/>
      <c r="P351" s="217"/>
      <c r="Q351" s="244"/>
    </row>
    <row r="352" spans="1:17" outlineLevel="1">
      <c r="A352" s="243"/>
      <c r="B352" s="244"/>
      <c r="C352" s="247" t="s">
        <v>364</v>
      </c>
      <c r="D352" s="249"/>
      <c r="E352" s="14"/>
      <c r="F352" s="2"/>
      <c r="G352" s="14"/>
      <c r="H352" s="2"/>
      <c r="I352" s="14"/>
      <c r="J352" s="2"/>
      <c r="K352" s="246"/>
      <c r="L352" s="244"/>
      <c r="M352" s="244"/>
      <c r="N352" s="244"/>
      <c r="O352" s="244"/>
      <c r="P352" s="244"/>
      <c r="Q352" s="244"/>
    </row>
    <row r="353" spans="1:17" s="224" customFormat="1" ht="20.399999999999999" outlineLevel="2">
      <c r="A353" s="250" t="s">
        <v>82</v>
      </c>
      <c r="B353" s="251"/>
      <c r="C353" s="249" t="s">
        <v>408</v>
      </c>
      <c r="D353" s="249"/>
      <c r="E353" s="58"/>
      <c r="F353" s="44"/>
      <c r="G353" s="58"/>
      <c r="H353" s="44"/>
      <c r="I353" s="58"/>
      <c r="J353" s="44"/>
      <c r="K353" s="252"/>
      <c r="L353" s="253" t="s">
        <v>683</v>
      </c>
      <c r="M353" s="254"/>
      <c r="N353" s="253"/>
      <c r="O353" s="254"/>
      <c r="P353" s="253"/>
      <c r="Q353" s="255"/>
    </row>
    <row r="354" spans="1:17" outlineLevel="2">
      <c r="A354" s="243" t="s">
        <v>45</v>
      </c>
      <c r="B354" s="244"/>
      <c r="C354" s="249" t="s">
        <v>334</v>
      </c>
      <c r="D354" s="249"/>
      <c r="E354" s="14"/>
      <c r="F354" s="44"/>
      <c r="G354" s="14"/>
      <c r="H354" s="44"/>
      <c r="I354" s="14"/>
      <c r="J354" s="44"/>
      <c r="K354" s="246"/>
      <c r="L354" s="253"/>
      <c r="M354" s="244"/>
      <c r="N354" s="253"/>
      <c r="O354" s="244"/>
      <c r="P354" s="253"/>
      <c r="Q354" s="244"/>
    </row>
    <row r="355" spans="1:17" outlineLevel="2">
      <c r="A355" s="243" t="s">
        <v>46</v>
      </c>
      <c r="B355" s="244"/>
      <c r="C355" s="249" t="s">
        <v>256</v>
      </c>
      <c r="D355" s="249"/>
      <c r="E355" s="14"/>
      <c r="F355" s="44"/>
      <c r="G355" s="14"/>
      <c r="H355" s="44"/>
      <c r="I355" s="14"/>
      <c r="J355" s="44"/>
      <c r="K355" s="246"/>
      <c r="L355" s="253"/>
      <c r="M355" s="244"/>
      <c r="N355" s="253"/>
      <c r="O355" s="244"/>
      <c r="P355" s="253"/>
      <c r="Q355" s="244"/>
    </row>
    <row r="356" spans="1:17" outlineLevel="2">
      <c r="A356" s="243" t="s">
        <v>537</v>
      </c>
      <c r="B356" s="244"/>
      <c r="C356" s="249" t="s">
        <v>216</v>
      </c>
      <c r="D356" s="249"/>
      <c r="E356" s="14"/>
      <c r="F356" s="44"/>
      <c r="G356" s="14"/>
      <c r="H356" s="44"/>
      <c r="I356" s="14"/>
      <c r="J356" s="44"/>
      <c r="K356" s="246"/>
      <c r="L356" s="253"/>
      <c r="M356" s="244"/>
      <c r="N356" s="253"/>
      <c r="O356" s="244"/>
      <c r="P356" s="253"/>
      <c r="Q356" s="244"/>
    </row>
    <row r="357" spans="1:17" outlineLevel="1">
      <c r="A357" s="243" t="s">
        <v>126</v>
      </c>
      <c r="B357" s="244"/>
      <c r="C357" s="244" t="s">
        <v>448</v>
      </c>
      <c r="D357" s="244"/>
      <c r="E357" s="14"/>
      <c r="F357" s="4" t="s">
        <v>484</v>
      </c>
      <c r="G357" s="14"/>
      <c r="H357" s="4" t="s">
        <v>484</v>
      </c>
      <c r="I357" s="14"/>
      <c r="J357" s="4" t="s">
        <v>484</v>
      </c>
      <c r="K357" s="246"/>
      <c r="L357" s="217" t="s">
        <v>484</v>
      </c>
      <c r="N357" s="217" t="s">
        <v>484</v>
      </c>
      <c r="P357" s="217" t="s">
        <v>484</v>
      </c>
      <c r="Q357" s="244"/>
    </row>
    <row r="358" spans="1:17" outlineLevel="1">
      <c r="A358" s="243" t="s">
        <v>47</v>
      </c>
      <c r="B358" s="244"/>
      <c r="C358" s="244" t="s">
        <v>7</v>
      </c>
      <c r="D358" s="249"/>
      <c r="E358" s="2"/>
      <c r="F358" s="4"/>
      <c r="G358" s="2"/>
      <c r="H358" s="4"/>
      <c r="I358" s="2"/>
      <c r="J358" s="4"/>
      <c r="K358" s="244"/>
      <c r="L358" s="217"/>
      <c r="M358" s="244"/>
      <c r="N358" s="217"/>
      <c r="O358" s="244"/>
      <c r="P358" s="217"/>
      <c r="Q358" s="244"/>
    </row>
    <row r="359" spans="1:17" outlineLevel="1">
      <c r="A359" s="243" t="s">
        <v>48</v>
      </c>
      <c r="B359" s="244"/>
      <c r="C359" s="244" t="s">
        <v>83</v>
      </c>
      <c r="D359" s="249"/>
      <c r="E359" s="2"/>
      <c r="F359" s="4"/>
      <c r="G359" s="2"/>
      <c r="H359" s="4"/>
      <c r="I359" s="2"/>
      <c r="J359" s="4"/>
      <c r="K359" s="244"/>
      <c r="L359" s="217"/>
      <c r="M359" s="244"/>
      <c r="N359" s="217"/>
      <c r="O359" s="244"/>
      <c r="P359" s="217"/>
      <c r="Q359" s="244"/>
    </row>
    <row r="360" spans="1:17" outlineLevel="1">
      <c r="A360" s="243" t="s">
        <v>112</v>
      </c>
      <c r="B360" s="244"/>
      <c r="C360" s="244" t="s">
        <v>439</v>
      </c>
      <c r="D360" s="249"/>
      <c r="E360" s="2"/>
      <c r="F360" s="4"/>
      <c r="G360" s="2"/>
      <c r="H360" s="4"/>
      <c r="I360" s="2"/>
      <c r="J360" s="4"/>
      <c r="K360" s="244"/>
      <c r="L360" s="217"/>
      <c r="M360" s="244"/>
      <c r="N360" s="217"/>
      <c r="O360" s="244"/>
      <c r="P360" s="217"/>
      <c r="Q360" s="244"/>
    </row>
    <row r="361" spans="1:17" outlineLevel="1">
      <c r="A361" s="243" t="s">
        <v>284</v>
      </c>
      <c r="B361" s="244"/>
      <c r="C361" s="244" t="s">
        <v>287</v>
      </c>
      <c r="D361" s="249"/>
      <c r="E361" s="2"/>
      <c r="F361" s="4"/>
      <c r="G361" s="2"/>
      <c r="H361" s="4"/>
      <c r="I361" s="2"/>
      <c r="J361" s="4"/>
      <c r="K361" s="244"/>
      <c r="L361" s="217"/>
      <c r="M361" s="244"/>
      <c r="N361" s="217"/>
      <c r="O361" s="244"/>
      <c r="P361" s="217"/>
      <c r="Q361" s="244"/>
    </row>
    <row r="362" spans="1:17">
      <c r="A362" s="243"/>
      <c r="B362" s="244"/>
      <c r="C362" s="247" t="s">
        <v>257</v>
      </c>
      <c r="D362" s="249"/>
      <c r="E362" s="2"/>
      <c r="F362" s="2"/>
      <c r="G362" s="2"/>
      <c r="H362" s="2"/>
      <c r="I362" s="2"/>
      <c r="J362" s="2"/>
      <c r="K362" s="244"/>
      <c r="L362" s="244"/>
      <c r="M362" s="244"/>
      <c r="N362" s="244"/>
      <c r="O362" s="244"/>
      <c r="P362" s="244"/>
      <c r="Q362" s="244"/>
    </row>
    <row r="363" spans="1:17" outlineLevel="1">
      <c r="A363" s="243" t="s">
        <v>409</v>
      </c>
      <c r="B363" s="244"/>
      <c r="C363" s="249" t="s">
        <v>217</v>
      </c>
      <c r="D363" s="244"/>
      <c r="E363" s="14"/>
      <c r="F363" s="4" t="s">
        <v>615</v>
      </c>
      <c r="G363" s="14"/>
      <c r="H363" s="4" t="s">
        <v>615</v>
      </c>
      <c r="I363" s="14"/>
      <c r="J363" s="4" t="s">
        <v>615</v>
      </c>
      <c r="K363" s="246"/>
      <c r="L363" s="217" t="s">
        <v>615</v>
      </c>
      <c r="N363" s="217" t="s">
        <v>615</v>
      </c>
      <c r="P363" s="217" t="s">
        <v>615</v>
      </c>
      <c r="Q363" s="244"/>
    </row>
    <row r="364" spans="1:17" outlineLevel="1">
      <c r="A364" s="243" t="s">
        <v>218</v>
      </c>
      <c r="B364" s="244"/>
      <c r="C364" s="249" t="s">
        <v>573</v>
      </c>
      <c r="D364" s="244"/>
      <c r="E364" s="14"/>
      <c r="F364" s="4" t="s">
        <v>484</v>
      </c>
      <c r="G364" s="14"/>
      <c r="H364" s="4" t="s">
        <v>484</v>
      </c>
      <c r="I364" s="14"/>
      <c r="J364" s="4" t="s">
        <v>484</v>
      </c>
      <c r="K364" s="246"/>
      <c r="L364" s="217" t="s">
        <v>484</v>
      </c>
      <c r="N364" s="217" t="s">
        <v>484</v>
      </c>
      <c r="P364" s="217" t="s">
        <v>484</v>
      </c>
      <c r="Q364" s="244"/>
    </row>
    <row r="365" spans="1:17" outlineLevel="1">
      <c r="A365" s="243" t="s">
        <v>294</v>
      </c>
      <c r="B365" s="244"/>
      <c r="C365" s="249" t="s">
        <v>493</v>
      </c>
      <c r="D365" s="244"/>
      <c r="E365" s="14"/>
      <c r="F365" s="4" t="s">
        <v>484</v>
      </c>
      <c r="G365" s="14"/>
      <c r="H365" s="4" t="s">
        <v>484</v>
      </c>
      <c r="I365" s="14"/>
      <c r="J365" s="4" t="s">
        <v>484</v>
      </c>
      <c r="K365" s="246"/>
      <c r="L365" s="217" t="s">
        <v>484</v>
      </c>
      <c r="N365" s="217" t="s">
        <v>484</v>
      </c>
      <c r="P365" s="217" t="s">
        <v>484</v>
      </c>
      <c r="Q365" s="244"/>
    </row>
    <row r="366" spans="1:17" outlineLevel="1">
      <c r="A366" s="243" t="s">
        <v>410</v>
      </c>
      <c r="B366" s="244"/>
      <c r="C366" s="249" t="s">
        <v>616</v>
      </c>
      <c r="D366" s="244"/>
      <c r="E366" s="14"/>
      <c r="F366" s="4" t="s">
        <v>292</v>
      </c>
      <c r="G366" s="14"/>
      <c r="H366" s="4" t="s">
        <v>292</v>
      </c>
      <c r="I366" s="14"/>
      <c r="J366" s="4" t="s">
        <v>292</v>
      </c>
      <c r="K366" s="246"/>
      <c r="L366" s="217" t="s">
        <v>484</v>
      </c>
      <c r="N366" s="217" t="s">
        <v>292</v>
      </c>
      <c r="P366" s="217" t="s">
        <v>292</v>
      </c>
      <c r="Q366" s="244"/>
    </row>
    <row r="367" spans="1:17" s="244" customFormat="1">
      <c r="A367" s="243"/>
      <c r="C367" s="247" t="s">
        <v>295</v>
      </c>
      <c r="D367" s="256"/>
      <c r="E367" s="2"/>
      <c r="F367" s="2"/>
      <c r="G367" s="2"/>
      <c r="H367" s="2"/>
      <c r="I367" s="2"/>
      <c r="J367" s="2"/>
    </row>
    <row r="368" spans="1:17" s="244" customFormat="1" outlineLevel="1">
      <c r="A368" s="243"/>
      <c r="C368" s="257" t="s">
        <v>127</v>
      </c>
      <c r="D368" s="256"/>
      <c r="E368" s="2"/>
      <c r="F368" s="2"/>
      <c r="G368" s="2"/>
      <c r="H368" s="2"/>
      <c r="I368" s="2"/>
      <c r="J368" s="2"/>
    </row>
    <row r="369" spans="1:17" outlineLevel="2">
      <c r="A369" s="243" t="s">
        <v>258</v>
      </c>
      <c r="B369" s="244"/>
      <c r="C369" s="258" t="s">
        <v>219</v>
      </c>
      <c r="D369" s="249"/>
      <c r="E369" s="2"/>
      <c r="F369" s="12" t="s">
        <v>84</v>
      </c>
      <c r="G369" s="2"/>
      <c r="H369" s="12" t="s">
        <v>84</v>
      </c>
      <c r="I369" s="2"/>
      <c r="J369" s="12" t="s">
        <v>84</v>
      </c>
      <c r="K369" s="244"/>
      <c r="L369" s="231" t="s">
        <v>29</v>
      </c>
      <c r="M369" s="259" t="s">
        <v>2</v>
      </c>
      <c r="N369" s="231" t="s">
        <v>84</v>
      </c>
      <c r="O369" s="259" t="s">
        <v>2</v>
      </c>
      <c r="P369" s="231" t="s">
        <v>84</v>
      </c>
      <c r="Q369" s="259" t="s">
        <v>2</v>
      </c>
    </row>
    <row r="370" spans="1:17" outlineLevel="2">
      <c r="A370" s="243" t="s">
        <v>49</v>
      </c>
      <c r="B370" s="244"/>
      <c r="C370" s="258" t="s">
        <v>169</v>
      </c>
      <c r="D370" s="249"/>
      <c r="E370" s="2"/>
      <c r="F370" s="11" t="s">
        <v>494</v>
      </c>
      <c r="G370" s="2"/>
      <c r="H370" s="11" t="s">
        <v>494</v>
      </c>
      <c r="I370" s="2"/>
      <c r="J370" s="11" t="s">
        <v>494</v>
      </c>
      <c r="K370" s="244"/>
      <c r="L370" s="248" t="s">
        <v>494</v>
      </c>
      <c r="M370" s="244"/>
      <c r="N370" s="248" t="s">
        <v>494</v>
      </c>
      <c r="O370" s="244"/>
      <c r="P370" s="248" t="s">
        <v>494</v>
      </c>
      <c r="Q370" s="244"/>
    </row>
    <row r="371" spans="1:17" outlineLevel="2">
      <c r="A371" s="243" t="s">
        <v>411</v>
      </c>
      <c r="B371" s="244"/>
      <c r="C371" s="258" t="s">
        <v>617</v>
      </c>
      <c r="D371" s="249"/>
      <c r="E371" s="2"/>
      <c r="F371" s="4"/>
      <c r="G371" s="2"/>
      <c r="H371" s="4"/>
      <c r="I371" s="2"/>
      <c r="J371" s="4"/>
      <c r="K371" s="244"/>
      <c r="L371" s="217"/>
      <c r="M371" s="244"/>
      <c r="N371" s="217"/>
      <c r="O371" s="244"/>
      <c r="P371" s="217"/>
      <c r="Q371" s="244"/>
    </row>
    <row r="372" spans="1:17" outlineLevel="1">
      <c r="A372" s="243"/>
      <c r="B372" s="244"/>
      <c r="C372" s="257" t="s">
        <v>335</v>
      </c>
      <c r="D372" s="249"/>
      <c r="E372" s="2"/>
      <c r="F372" s="2"/>
      <c r="G372" s="2"/>
      <c r="H372" s="2"/>
      <c r="I372" s="2"/>
      <c r="J372" s="2"/>
      <c r="K372" s="244"/>
      <c r="L372" s="244"/>
      <c r="M372" s="244"/>
      <c r="N372" s="244"/>
      <c r="O372" s="244"/>
      <c r="P372" s="244"/>
      <c r="Q372" s="244"/>
    </row>
    <row r="373" spans="1:17" s="265" customFormat="1" outlineLevel="2">
      <c r="A373" s="260" t="s">
        <v>574</v>
      </c>
      <c r="B373" s="261"/>
      <c r="C373" s="258" t="s">
        <v>259</v>
      </c>
      <c r="D373" s="262"/>
      <c r="E373" s="8"/>
      <c r="F373" s="46" t="s">
        <v>575</v>
      </c>
      <c r="G373" s="8"/>
      <c r="H373" s="46" t="s">
        <v>575</v>
      </c>
      <c r="I373" s="8"/>
      <c r="J373" s="46" t="s">
        <v>575</v>
      </c>
      <c r="K373" s="261"/>
      <c r="L373" s="263" t="s">
        <v>198</v>
      </c>
      <c r="M373" s="264" t="s">
        <v>2</v>
      </c>
      <c r="N373" s="263" t="s">
        <v>575</v>
      </c>
      <c r="O373" s="264" t="s">
        <v>2</v>
      </c>
      <c r="P373" s="263" t="s">
        <v>575</v>
      </c>
    </row>
    <row r="374" spans="1:17" s="261" customFormat="1" outlineLevel="2">
      <c r="A374" s="260"/>
      <c r="C374" s="266" t="s">
        <v>170</v>
      </c>
      <c r="D374" s="266"/>
      <c r="E374" s="27"/>
      <c r="F374" s="25"/>
      <c r="G374" s="27"/>
      <c r="H374" s="25"/>
      <c r="I374" s="27"/>
      <c r="J374" s="25"/>
      <c r="K374" s="266"/>
      <c r="L374" s="267"/>
      <c r="N374" s="267"/>
      <c r="P374" s="267"/>
    </row>
    <row r="375" spans="1:17" s="265" customFormat="1" outlineLevel="2">
      <c r="A375" s="260" t="s">
        <v>412</v>
      </c>
      <c r="B375" s="261"/>
      <c r="C375" s="258" t="s">
        <v>576</v>
      </c>
      <c r="D375" s="262"/>
      <c r="E375" s="8"/>
      <c r="F375" s="26"/>
      <c r="G375" s="8"/>
      <c r="H375" s="26"/>
      <c r="I375" s="8"/>
      <c r="J375" s="26"/>
      <c r="K375" s="261"/>
      <c r="L375" s="268"/>
      <c r="M375" s="261"/>
      <c r="N375" s="268"/>
      <c r="O375" s="261"/>
      <c r="P375" s="268"/>
    </row>
    <row r="376" spans="1:17" s="261" customFormat="1" outlineLevel="2">
      <c r="A376" s="260"/>
      <c r="C376" s="266" t="s">
        <v>538</v>
      </c>
      <c r="D376" s="266"/>
      <c r="E376" s="27"/>
      <c r="F376" s="25"/>
      <c r="G376" s="27"/>
      <c r="H376" s="25"/>
      <c r="I376" s="27"/>
      <c r="J376" s="25"/>
      <c r="K376" s="266"/>
      <c r="L376" s="267"/>
      <c r="N376" s="267"/>
      <c r="P376" s="267"/>
    </row>
    <row r="377" spans="1:17" s="261" customFormat="1" outlineLevel="2">
      <c r="A377" s="260"/>
      <c r="C377" s="258" t="s">
        <v>336</v>
      </c>
      <c r="D377" s="266"/>
      <c r="E377" s="27"/>
      <c r="F377" s="25"/>
      <c r="G377" s="27"/>
      <c r="H377" s="25"/>
      <c r="I377" s="27"/>
      <c r="J377" s="25"/>
      <c r="K377" s="266"/>
      <c r="L377" s="267"/>
      <c r="N377" s="267"/>
      <c r="P377" s="267"/>
    </row>
    <row r="378" spans="1:17" s="265" customFormat="1" outlineLevel="2">
      <c r="A378" s="260" t="s">
        <v>413</v>
      </c>
      <c r="B378" s="261"/>
      <c r="C378" s="269" t="s">
        <v>577</v>
      </c>
      <c r="D378" s="262"/>
      <c r="E378" s="8"/>
      <c r="F378" s="47"/>
      <c r="G378" s="8"/>
      <c r="H378" s="47"/>
      <c r="I378" s="8"/>
      <c r="J378" s="47"/>
      <c r="K378" s="261"/>
      <c r="L378" s="270"/>
      <c r="M378" s="261"/>
      <c r="N378" s="270"/>
      <c r="O378" s="261"/>
      <c r="P378" s="270"/>
    </row>
    <row r="379" spans="1:17" s="265" customFormat="1" outlineLevel="2">
      <c r="A379" s="260" t="s">
        <v>618</v>
      </c>
      <c r="B379" s="261"/>
      <c r="C379" s="269" t="s">
        <v>495</v>
      </c>
      <c r="D379" s="262"/>
      <c r="E379" s="8"/>
      <c r="F379" s="47"/>
      <c r="G379" s="8"/>
      <c r="H379" s="47"/>
      <c r="I379" s="8"/>
      <c r="J379" s="47"/>
      <c r="K379" s="261"/>
      <c r="L379" s="270"/>
      <c r="M379" s="261"/>
      <c r="N379" s="270"/>
      <c r="O379" s="261"/>
      <c r="P379" s="270"/>
    </row>
    <row r="380" spans="1:17" s="265" customFormat="1" outlineLevel="2">
      <c r="A380" s="260" t="s">
        <v>539</v>
      </c>
      <c r="B380" s="261"/>
      <c r="C380" s="269" t="s">
        <v>496</v>
      </c>
      <c r="D380" s="262"/>
      <c r="E380" s="8"/>
      <c r="F380" s="47"/>
      <c r="G380" s="8"/>
      <c r="H380" s="47"/>
      <c r="I380" s="8"/>
      <c r="J380" s="47"/>
      <c r="K380" s="261"/>
      <c r="L380" s="270"/>
      <c r="M380" s="261"/>
      <c r="N380" s="270"/>
      <c r="O380" s="261"/>
      <c r="P380" s="270"/>
    </row>
    <row r="381" spans="1:17" s="265" customFormat="1" outlineLevel="2">
      <c r="A381" s="260" t="s">
        <v>220</v>
      </c>
      <c r="B381" s="261"/>
      <c r="C381" s="269" t="s">
        <v>619</v>
      </c>
      <c r="D381" s="262"/>
      <c r="E381" s="8"/>
      <c r="F381" s="47"/>
      <c r="G381" s="8"/>
      <c r="H381" s="47"/>
      <c r="I381" s="8"/>
      <c r="J381" s="47"/>
      <c r="K381" s="261"/>
      <c r="L381" s="270"/>
      <c r="M381" s="261"/>
      <c r="N381" s="270"/>
      <c r="O381" s="261"/>
      <c r="P381" s="270"/>
    </row>
    <row r="382" spans="1:17" s="261" customFormat="1" outlineLevel="2">
      <c r="A382" s="260"/>
      <c r="C382" s="271"/>
      <c r="D382" s="271"/>
      <c r="E382" s="8"/>
      <c r="F382" s="8"/>
      <c r="G382" s="8"/>
      <c r="H382" s="8"/>
      <c r="I382" s="8"/>
      <c r="J382" s="8"/>
    </row>
    <row r="383" spans="1:17" s="265" customFormat="1" outlineLevel="2">
      <c r="A383" s="260" t="s">
        <v>85</v>
      </c>
      <c r="B383" s="261"/>
      <c r="C383" s="272" t="s">
        <v>128</v>
      </c>
      <c r="D383" s="262"/>
      <c r="E383" s="8"/>
      <c r="F383" s="26"/>
      <c r="G383" s="8"/>
      <c r="H383" s="26"/>
      <c r="I383" s="8"/>
      <c r="J383" s="26"/>
      <c r="K383" s="261"/>
      <c r="L383" s="268"/>
      <c r="M383" s="261"/>
      <c r="N383" s="268"/>
      <c r="O383" s="261"/>
      <c r="P383" s="268"/>
    </row>
    <row r="384" spans="1:17">
      <c r="A384" s="243"/>
      <c r="B384" s="244"/>
      <c r="C384" s="247" t="s">
        <v>337</v>
      </c>
      <c r="D384" s="249"/>
      <c r="E384" s="2"/>
      <c r="F384" s="2"/>
      <c r="G384" s="2"/>
      <c r="H384" s="2"/>
      <c r="I384" s="2"/>
      <c r="J384" s="2"/>
      <c r="K384" s="244"/>
      <c r="L384" s="244"/>
      <c r="M384" s="244"/>
      <c r="N384" s="244"/>
      <c r="O384" s="244"/>
      <c r="P384" s="244"/>
      <c r="Q384" s="244"/>
    </row>
    <row r="385" spans="1:17" outlineLevel="1">
      <c r="A385" s="243"/>
      <c r="B385" s="244"/>
      <c r="C385" s="245" t="s">
        <v>86</v>
      </c>
      <c r="D385" s="249"/>
      <c r="E385" s="2"/>
      <c r="F385" s="2"/>
      <c r="G385" s="2"/>
      <c r="H385" s="2"/>
      <c r="I385" s="2"/>
      <c r="J385" s="2"/>
      <c r="K385" s="244"/>
      <c r="L385" s="244"/>
      <c r="M385" s="244"/>
      <c r="N385" s="244"/>
      <c r="O385" s="244"/>
      <c r="P385" s="244"/>
      <c r="Q385" s="244"/>
    </row>
    <row r="386" spans="1:17" outlineLevel="1">
      <c r="A386" s="243" t="s">
        <v>578</v>
      </c>
      <c r="B386" s="244"/>
      <c r="C386" s="249" t="s">
        <v>260</v>
      </c>
      <c r="D386" s="249"/>
      <c r="E386" s="2"/>
      <c r="F386" s="12" t="s">
        <v>2</v>
      </c>
      <c r="G386" s="2"/>
      <c r="H386" s="12" t="s">
        <v>2</v>
      </c>
      <c r="I386" s="2"/>
      <c r="J386" s="12" t="s">
        <v>2</v>
      </c>
      <c r="K386" s="244"/>
      <c r="L386" s="231" t="s">
        <v>2</v>
      </c>
      <c r="M386" s="259" t="s">
        <v>2</v>
      </c>
      <c r="N386" s="231" t="s">
        <v>2</v>
      </c>
      <c r="O386" s="259" t="s">
        <v>2</v>
      </c>
      <c r="P386" s="231" t="s">
        <v>2</v>
      </c>
      <c r="Q386" s="259" t="s">
        <v>2</v>
      </c>
    </row>
    <row r="387" spans="1:17" outlineLevel="1">
      <c r="A387" s="243" t="s">
        <v>261</v>
      </c>
      <c r="B387" s="244"/>
      <c r="C387" s="249" t="s">
        <v>620</v>
      </c>
      <c r="D387" s="249"/>
      <c r="E387" s="2"/>
      <c r="F387" s="12" t="s">
        <v>2</v>
      </c>
      <c r="G387" s="2"/>
      <c r="H387" s="12" t="s">
        <v>2</v>
      </c>
      <c r="I387" s="2"/>
      <c r="J387" s="12" t="s">
        <v>2</v>
      </c>
      <c r="K387" s="244"/>
      <c r="L387" s="231" t="s">
        <v>2</v>
      </c>
      <c r="M387" s="244"/>
      <c r="N387" s="231" t="s">
        <v>2</v>
      </c>
      <c r="O387" s="244"/>
      <c r="P387" s="231" t="s">
        <v>2</v>
      </c>
      <c r="Q387" s="244"/>
    </row>
    <row r="388" spans="1:17" s="244" customFormat="1" outlineLevel="1">
      <c r="A388" s="243"/>
      <c r="C388" s="245" t="s">
        <v>50</v>
      </c>
      <c r="D388" s="256"/>
      <c r="E388" s="2"/>
      <c r="F388" s="2"/>
      <c r="G388" s="2"/>
      <c r="H388" s="2"/>
      <c r="I388" s="2"/>
      <c r="J388" s="2"/>
    </row>
    <row r="389" spans="1:17" outlineLevel="1">
      <c r="A389" s="243" t="s">
        <v>579</v>
      </c>
      <c r="B389" s="244"/>
      <c r="C389" s="249" t="s">
        <v>221</v>
      </c>
      <c r="D389" s="249"/>
      <c r="E389" s="2"/>
      <c r="F389" s="12" t="s">
        <v>2</v>
      </c>
      <c r="G389" s="2"/>
      <c r="H389" s="12" t="s">
        <v>2</v>
      </c>
      <c r="I389" s="2"/>
      <c r="J389" s="12" t="s">
        <v>2</v>
      </c>
      <c r="K389" s="244"/>
      <c r="L389" s="231" t="s">
        <v>2</v>
      </c>
      <c r="M389" s="259" t="s">
        <v>2</v>
      </c>
      <c r="N389" s="231" t="s">
        <v>2</v>
      </c>
      <c r="O389" s="259" t="s">
        <v>2</v>
      </c>
      <c r="P389" s="231" t="s">
        <v>2</v>
      </c>
      <c r="Q389" s="259" t="s">
        <v>2</v>
      </c>
    </row>
    <row r="390" spans="1:17" s="244" customFormat="1">
      <c r="A390" s="243"/>
      <c r="C390" s="247" t="s">
        <v>580</v>
      </c>
      <c r="D390" s="256"/>
      <c r="E390" s="2"/>
      <c r="F390" s="2"/>
      <c r="G390" s="2"/>
      <c r="H390" s="2"/>
      <c r="I390" s="2"/>
      <c r="J390" s="2"/>
    </row>
    <row r="391" spans="1:17" outlineLevel="1">
      <c r="A391" s="243" t="s">
        <v>222</v>
      </c>
      <c r="B391" s="244"/>
      <c r="C391" s="273" t="s">
        <v>262</v>
      </c>
      <c r="D391" s="244"/>
      <c r="E391" s="14"/>
      <c r="F391" s="4" t="s">
        <v>292</v>
      </c>
      <c r="G391" s="14"/>
      <c r="H391" s="4" t="s">
        <v>292</v>
      </c>
      <c r="I391" s="14"/>
      <c r="J391" s="4" t="s">
        <v>292</v>
      </c>
      <c r="K391" s="246"/>
      <c r="L391" s="217" t="s">
        <v>292</v>
      </c>
      <c r="N391" s="217" t="s">
        <v>292</v>
      </c>
      <c r="P391" s="217" t="s">
        <v>292</v>
      </c>
      <c r="Q391" s="244"/>
    </row>
    <row r="392" spans="1:17" outlineLevel="1">
      <c r="A392" s="243" t="s">
        <v>540</v>
      </c>
      <c r="B392" s="244"/>
      <c r="C392" s="273" t="s">
        <v>51</v>
      </c>
      <c r="D392" s="244"/>
      <c r="E392" s="14"/>
      <c r="F392" s="4" t="s">
        <v>292</v>
      </c>
      <c r="G392" s="14"/>
      <c r="H392" s="4" t="s">
        <v>292</v>
      </c>
      <c r="I392" s="14"/>
      <c r="J392" s="4" t="s">
        <v>292</v>
      </c>
      <c r="K392" s="246"/>
      <c r="L392" s="217" t="s">
        <v>292</v>
      </c>
      <c r="N392" s="217" t="s">
        <v>292</v>
      </c>
      <c r="P392" s="217" t="s">
        <v>292</v>
      </c>
      <c r="Q392" s="244"/>
    </row>
    <row r="393" spans="1:17" outlineLevel="1">
      <c r="A393" s="243" t="s">
        <v>397</v>
      </c>
      <c r="B393" s="244"/>
      <c r="C393" s="273" t="s">
        <v>399</v>
      </c>
      <c r="D393" s="244"/>
      <c r="E393" s="14"/>
      <c r="F393" s="4"/>
      <c r="G393" s="14"/>
      <c r="H393" s="4"/>
      <c r="I393" s="14"/>
      <c r="J393" s="4"/>
      <c r="K393" s="246"/>
      <c r="L393" s="217"/>
      <c r="N393" s="217"/>
      <c r="P393" s="217"/>
      <c r="Q393" s="244"/>
    </row>
    <row r="394" spans="1:17" outlineLevel="1">
      <c r="A394" s="243" t="s">
        <v>449</v>
      </c>
      <c r="B394" s="244"/>
      <c r="C394" s="273" t="s">
        <v>497</v>
      </c>
      <c r="D394" s="244"/>
      <c r="E394" s="14"/>
      <c r="F394" s="4" t="s">
        <v>484</v>
      </c>
      <c r="G394" s="14"/>
      <c r="H394" s="4" t="s">
        <v>484</v>
      </c>
      <c r="I394" s="14"/>
      <c r="J394" s="4" t="s">
        <v>484</v>
      </c>
      <c r="K394" s="246"/>
      <c r="L394" s="217" t="s">
        <v>484</v>
      </c>
      <c r="N394" s="217" t="s">
        <v>484</v>
      </c>
      <c r="P394" s="217" t="s">
        <v>484</v>
      </c>
      <c r="Q394" s="244"/>
    </row>
    <row r="395" spans="1:17" outlineLevel="1">
      <c r="A395" s="243" t="s">
        <v>450</v>
      </c>
      <c r="B395" s="244"/>
      <c r="C395" s="273" t="s">
        <v>498</v>
      </c>
      <c r="D395" s="244"/>
      <c r="E395" s="14"/>
      <c r="F395" s="4" t="s">
        <v>484</v>
      </c>
      <c r="G395" s="14"/>
      <c r="H395" s="4" t="s">
        <v>484</v>
      </c>
      <c r="I395" s="14"/>
      <c r="J395" s="4" t="s">
        <v>484</v>
      </c>
      <c r="K395" s="246"/>
      <c r="L395" s="217" t="s">
        <v>484</v>
      </c>
      <c r="N395" s="217" t="s">
        <v>484</v>
      </c>
      <c r="P395" s="217" t="s">
        <v>484</v>
      </c>
      <c r="Q395" s="244"/>
    </row>
    <row r="396" spans="1:17" outlineLevel="1">
      <c r="A396" s="243" t="s">
        <v>621</v>
      </c>
      <c r="B396" s="244"/>
      <c r="C396" s="273" t="s">
        <v>414</v>
      </c>
      <c r="D396" s="244"/>
      <c r="E396" s="14"/>
      <c r="F396" s="4" t="s">
        <v>484</v>
      </c>
      <c r="G396" s="14"/>
      <c r="H396" s="4" t="s">
        <v>484</v>
      </c>
      <c r="I396" s="14"/>
      <c r="J396" s="4" t="s">
        <v>484</v>
      </c>
      <c r="K396" s="246"/>
      <c r="L396" s="217" t="s">
        <v>484</v>
      </c>
      <c r="N396" s="217" t="s">
        <v>484</v>
      </c>
      <c r="P396" s="217" t="s">
        <v>484</v>
      </c>
      <c r="Q396" s="244"/>
    </row>
    <row r="397" spans="1:17" outlineLevel="1">
      <c r="A397" s="243" t="s">
        <v>563</v>
      </c>
      <c r="B397" s="244"/>
      <c r="C397" s="273" t="s">
        <v>480</v>
      </c>
      <c r="D397" s="244"/>
      <c r="E397" s="14"/>
      <c r="F397" s="4"/>
      <c r="G397" s="14"/>
      <c r="H397" s="4"/>
      <c r="I397" s="14"/>
      <c r="J397" s="4"/>
      <c r="K397" s="246"/>
      <c r="L397" s="217"/>
      <c r="N397" s="217"/>
      <c r="P397" s="217"/>
      <c r="Q397" s="244"/>
    </row>
    <row r="398" spans="1:17" outlineLevel="1">
      <c r="A398" s="243" t="s">
        <v>162</v>
      </c>
      <c r="B398" s="244"/>
      <c r="C398" s="273" t="s">
        <v>206</v>
      </c>
      <c r="D398" s="244"/>
      <c r="E398" s="14"/>
      <c r="F398" s="4"/>
      <c r="G398" s="14"/>
      <c r="H398" s="4"/>
      <c r="I398" s="14"/>
      <c r="J398" s="4"/>
      <c r="K398" s="246"/>
      <c r="L398" s="217"/>
      <c r="N398" s="217"/>
      <c r="P398" s="217"/>
      <c r="Q398" s="244"/>
    </row>
    <row r="399" spans="1:17" outlineLevel="1">
      <c r="A399" s="243" t="s">
        <v>659</v>
      </c>
      <c r="B399" s="244"/>
      <c r="C399" s="273" t="s">
        <v>660</v>
      </c>
      <c r="D399" s="244"/>
      <c r="E399" s="14"/>
      <c r="F399" s="44"/>
      <c r="G399" s="14"/>
      <c r="H399" s="44"/>
      <c r="I399" s="14"/>
      <c r="J399" s="44"/>
      <c r="K399" s="246"/>
      <c r="L399" s="253"/>
      <c r="M399" s="244"/>
      <c r="N399" s="253"/>
      <c r="O399" s="244"/>
      <c r="P399" s="253"/>
      <c r="Q399" s="244"/>
    </row>
    <row r="400" spans="1:17" outlineLevel="1">
      <c r="A400" s="243" t="s">
        <v>326</v>
      </c>
      <c r="B400" s="244"/>
      <c r="C400" s="273" t="s">
        <v>365</v>
      </c>
      <c r="D400" s="244"/>
      <c r="E400" s="14"/>
      <c r="F400" s="11"/>
      <c r="G400" s="14"/>
      <c r="H400" s="11"/>
      <c r="I400" s="14"/>
      <c r="J400" s="11"/>
      <c r="K400" s="246"/>
      <c r="L400" s="248"/>
      <c r="N400" s="248"/>
      <c r="P400" s="248"/>
      <c r="Q400" s="244"/>
    </row>
    <row r="401" spans="1:17" outlineLevel="1">
      <c r="A401" s="243"/>
      <c r="B401" s="244"/>
      <c r="C401" s="273"/>
      <c r="D401" s="244"/>
      <c r="E401" s="14"/>
      <c r="F401" s="2"/>
      <c r="G401" s="14"/>
      <c r="H401" s="2"/>
      <c r="I401" s="14"/>
      <c r="J401" s="2"/>
      <c r="K401" s="246"/>
      <c r="L401" s="244"/>
    </row>
    <row r="402" spans="1:17" outlineLevel="1">
      <c r="A402" s="243" t="s">
        <v>171</v>
      </c>
      <c r="B402" s="244"/>
      <c r="C402" s="273" t="s">
        <v>8</v>
      </c>
      <c r="D402" s="249"/>
      <c r="E402" s="2"/>
      <c r="F402" s="4" t="s">
        <v>292</v>
      </c>
      <c r="G402" s="2"/>
      <c r="H402" s="4" t="s">
        <v>292</v>
      </c>
      <c r="I402" s="2"/>
      <c r="J402" s="4" t="s">
        <v>292</v>
      </c>
      <c r="K402" s="244"/>
      <c r="L402" s="217" t="s">
        <v>292</v>
      </c>
      <c r="N402" s="217" t="s">
        <v>292</v>
      </c>
      <c r="P402" s="217" t="s">
        <v>292</v>
      </c>
      <c r="Q402" s="244"/>
    </row>
    <row r="403" spans="1:17" s="244" customFormat="1" outlineLevel="1">
      <c r="A403" s="243"/>
      <c r="C403" s="274" t="s">
        <v>170</v>
      </c>
      <c r="D403" s="274"/>
      <c r="E403" s="42"/>
      <c r="F403" s="43"/>
      <c r="G403" s="42"/>
      <c r="H403" s="43"/>
      <c r="I403" s="42"/>
      <c r="J403" s="43"/>
      <c r="K403" s="274"/>
      <c r="L403" s="275"/>
      <c r="N403" s="275"/>
      <c r="P403" s="275"/>
    </row>
    <row r="404" spans="1:17" outlineLevel="1">
      <c r="A404" s="243" t="s">
        <v>415</v>
      </c>
      <c r="B404" s="244"/>
      <c r="C404" s="249" t="s">
        <v>541</v>
      </c>
      <c r="D404" s="249"/>
      <c r="E404" s="2"/>
      <c r="F404" s="4" t="s">
        <v>292</v>
      </c>
      <c r="G404" s="2"/>
      <c r="H404" s="4" t="s">
        <v>292</v>
      </c>
      <c r="I404" s="2"/>
      <c r="J404" s="4" t="s">
        <v>292</v>
      </c>
      <c r="K404" s="244"/>
      <c r="L404" s="217" t="s">
        <v>292</v>
      </c>
      <c r="N404" s="217" t="s">
        <v>292</v>
      </c>
      <c r="P404" s="217" t="s">
        <v>292</v>
      </c>
      <c r="Q404" s="244"/>
    </row>
    <row r="405" spans="1:17" outlineLevel="1">
      <c r="A405" s="243" t="s">
        <v>223</v>
      </c>
      <c r="B405" s="244"/>
      <c r="C405" s="249" t="s">
        <v>9</v>
      </c>
      <c r="D405" s="249"/>
      <c r="E405" s="2"/>
      <c r="F405" s="4" t="s">
        <v>292</v>
      </c>
      <c r="G405" s="2"/>
      <c r="H405" s="4" t="s">
        <v>292</v>
      </c>
      <c r="I405" s="2"/>
      <c r="J405" s="4" t="s">
        <v>292</v>
      </c>
      <c r="K405" s="244"/>
      <c r="L405" s="217" t="s">
        <v>292</v>
      </c>
      <c r="N405" s="217" t="s">
        <v>292</v>
      </c>
      <c r="P405" s="217" t="s">
        <v>292</v>
      </c>
      <c r="Q405" s="244"/>
    </row>
    <row r="406" spans="1:17" outlineLevel="1">
      <c r="A406" s="243" t="s">
        <v>224</v>
      </c>
      <c r="B406" s="244"/>
      <c r="C406" s="249" t="s">
        <v>296</v>
      </c>
      <c r="D406" s="249"/>
      <c r="E406" s="2"/>
      <c r="F406" s="4" t="s">
        <v>292</v>
      </c>
      <c r="G406" s="2"/>
      <c r="H406" s="4" t="s">
        <v>292</v>
      </c>
      <c r="I406" s="2"/>
      <c r="J406" s="4" t="s">
        <v>292</v>
      </c>
      <c r="K406" s="244"/>
      <c r="L406" s="217" t="s">
        <v>292</v>
      </c>
      <c r="N406" s="217" t="s">
        <v>292</v>
      </c>
      <c r="P406" s="217" t="s">
        <v>292</v>
      </c>
      <c r="Q406" s="244"/>
    </row>
    <row r="407" spans="1:17" s="244" customFormat="1" collapsed="1">
      <c r="A407" s="243"/>
      <c r="C407" s="247" t="s">
        <v>542</v>
      </c>
      <c r="D407" s="256"/>
      <c r="E407" s="2"/>
      <c r="F407" s="2"/>
      <c r="G407" s="2"/>
      <c r="H407" s="2"/>
      <c r="I407" s="2"/>
      <c r="J407" s="2"/>
    </row>
    <row r="408" spans="1:17" hidden="1" outlineLevel="1">
      <c r="A408" s="243" t="s">
        <v>543</v>
      </c>
      <c r="B408" s="244"/>
      <c r="C408" s="244" t="s">
        <v>367</v>
      </c>
      <c r="D408" s="244"/>
      <c r="E408" s="14"/>
      <c r="F408" s="37"/>
      <c r="G408" s="14"/>
      <c r="H408" s="37"/>
      <c r="I408" s="14"/>
      <c r="J408" s="37"/>
      <c r="K408" s="246"/>
      <c r="L408" s="237"/>
      <c r="N408" s="237"/>
      <c r="P408" s="237"/>
      <c r="Q408" s="244"/>
    </row>
    <row r="409" spans="1:17" hidden="1" outlineLevel="1">
      <c r="A409" s="243" t="s">
        <v>581</v>
      </c>
      <c r="B409" s="244"/>
      <c r="C409" s="244" t="s">
        <v>129</v>
      </c>
      <c r="D409" s="244"/>
      <c r="E409" s="14"/>
      <c r="F409" s="37"/>
      <c r="G409" s="14"/>
      <c r="H409" s="37"/>
      <c r="I409" s="14"/>
      <c r="J409" s="37"/>
      <c r="K409" s="246"/>
      <c r="L409" s="237"/>
      <c r="N409" s="237"/>
      <c r="P409" s="237"/>
      <c r="Q409" s="244"/>
    </row>
    <row r="410" spans="1:17" hidden="1" outlineLevel="1">
      <c r="A410" s="243" t="s">
        <v>225</v>
      </c>
      <c r="B410" s="244"/>
      <c r="C410" s="244" t="s">
        <v>297</v>
      </c>
      <c r="D410" s="244"/>
      <c r="E410" s="14"/>
      <c r="F410" s="37"/>
      <c r="G410" s="14"/>
      <c r="H410" s="37"/>
      <c r="I410" s="14"/>
      <c r="J410" s="37"/>
      <c r="K410" s="246"/>
      <c r="L410" s="237"/>
      <c r="N410" s="237"/>
      <c r="P410" s="237"/>
      <c r="Q410" s="244"/>
    </row>
    <row r="412" spans="1:17" s="297" customFormat="1">
      <c r="A412" s="296" t="s">
        <v>681</v>
      </c>
      <c r="C412" s="297" t="str">
        <f>"Axiom Query - " &amp; A412</f>
        <v>Axiom Query - [AQ6]</v>
      </c>
      <c r="E412" s="298"/>
    </row>
    <row r="413" spans="1:17" s="300" customFormat="1">
      <c r="A413" s="299" t="s">
        <v>491</v>
      </c>
      <c r="C413" s="300" t="s">
        <v>125</v>
      </c>
      <c r="E413" s="301"/>
      <c r="F413" s="4"/>
      <c r="H413" s="4"/>
      <c r="J413" s="4"/>
      <c r="L413" s="4" t="s">
        <v>689</v>
      </c>
      <c r="N413" s="4"/>
      <c r="P413" s="4"/>
    </row>
    <row r="414" spans="1:17" s="300" customFormat="1">
      <c r="A414" s="299" t="s">
        <v>572</v>
      </c>
      <c r="C414" s="302" t="s">
        <v>215</v>
      </c>
      <c r="D414" s="302"/>
      <c r="E414" s="303"/>
      <c r="F414" s="4" t="s">
        <v>484</v>
      </c>
      <c r="H414" s="4" t="s">
        <v>484</v>
      </c>
      <c r="J414" s="4" t="s">
        <v>484</v>
      </c>
      <c r="L414" s="4" t="s">
        <v>292</v>
      </c>
      <c r="N414" s="4" t="s">
        <v>484</v>
      </c>
      <c r="P414" s="4" t="s">
        <v>484</v>
      </c>
    </row>
    <row r="415" spans="1:17" s="300" customFormat="1">
      <c r="A415" s="299"/>
      <c r="C415" s="304" t="s">
        <v>332</v>
      </c>
      <c r="D415" s="302"/>
      <c r="E415" s="303"/>
    </row>
    <row r="416" spans="1:17" s="300" customFormat="1" outlineLevel="1">
      <c r="A416" s="299" t="s">
        <v>536</v>
      </c>
      <c r="C416" s="302" t="s">
        <v>44</v>
      </c>
      <c r="D416" s="302"/>
      <c r="E416" s="303"/>
      <c r="F416" s="4"/>
      <c r="H416" s="4"/>
      <c r="J416" s="4"/>
      <c r="L416" s="248" t="str">
        <f>L348</f>
        <v>ACT2020</v>
      </c>
      <c r="N416" s="4"/>
      <c r="P416" s="4"/>
    </row>
    <row r="417" spans="1:16" s="300" customFormat="1" outlineLevel="1">
      <c r="A417" s="299" t="s">
        <v>168</v>
      </c>
      <c r="C417" s="305" t="s">
        <v>255</v>
      </c>
      <c r="D417" s="305"/>
      <c r="E417" s="303"/>
      <c r="F417" s="4"/>
      <c r="H417" s="4"/>
      <c r="J417" s="4"/>
      <c r="L417" s="248" t="str">
        <f>L349</f>
        <v>ACCT.BudgetType;ACCT.RptMap;DEPT.RptMap</v>
      </c>
      <c r="N417" s="4"/>
      <c r="P417" s="4"/>
    </row>
    <row r="418" spans="1:16" s="300" customFormat="1" outlineLevel="1">
      <c r="A418" s="299" t="s">
        <v>333</v>
      </c>
      <c r="C418" s="305" t="s">
        <v>492</v>
      </c>
      <c r="D418" s="305"/>
      <c r="E418" s="303"/>
      <c r="F418" s="4" t="str">
        <f>IF(F417="","",F417)</f>
        <v/>
      </c>
      <c r="H418" s="4" t="str">
        <f>IF(H417="","",H417)</f>
        <v/>
      </c>
      <c r="J418" s="4" t="str">
        <f>IF(J417="","",J417)</f>
        <v/>
      </c>
      <c r="L418" s="248" t="str">
        <f>IF(L417="","",L417)</f>
        <v>ACCT.BudgetType;ACCT.RptMap;DEPT.RptMap</v>
      </c>
      <c r="N418" s="4" t="str">
        <f>IF(N417="","",N417)</f>
        <v/>
      </c>
      <c r="P418" s="4" t="str">
        <f>IF(P417="","",P417)</f>
        <v/>
      </c>
    </row>
    <row r="419" spans="1:16" s="300" customFormat="1" outlineLevel="1">
      <c r="A419" s="299" t="s">
        <v>293</v>
      </c>
      <c r="C419" s="305" t="s">
        <v>447</v>
      </c>
      <c r="D419" s="305"/>
      <c r="E419" s="303"/>
      <c r="F419" s="4"/>
      <c r="H419" s="4"/>
      <c r="J419" s="4"/>
      <c r="L419" s="4"/>
      <c r="N419" s="4"/>
      <c r="P419" s="4"/>
    </row>
    <row r="420" spans="1:16" s="300" customFormat="1" outlineLevel="1">
      <c r="A420" s="299"/>
      <c r="C420" s="304" t="s">
        <v>364</v>
      </c>
      <c r="D420" s="305"/>
      <c r="E420" s="303"/>
    </row>
    <row r="421" spans="1:16" s="307" customFormat="1" ht="30.6" outlineLevel="2">
      <c r="A421" s="306" t="s">
        <v>82</v>
      </c>
      <c r="C421" s="305" t="s">
        <v>408</v>
      </c>
      <c r="D421" s="305"/>
      <c r="E421" s="308"/>
      <c r="F421" s="309"/>
      <c r="G421" s="310"/>
      <c r="H421" s="309"/>
      <c r="I421" s="310"/>
      <c r="J421" s="309"/>
      <c r="K421" s="311"/>
      <c r="L421" s="309" t="s">
        <v>688</v>
      </c>
      <c r="N421" s="309"/>
      <c r="P421" s="309"/>
    </row>
    <row r="422" spans="1:16" s="300" customFormat="1" outlineLevel="2">
      <c r="A422" s="299" t="s">
        <v>45</v>
      </c>
      <c r="C422" s="305" t="s">
        <v>334</v>
      </c>
      <c r="D422" s="305"/>
      <c r="E422" s="303"/>
      <c r="F422" s="309"/>
      <c r="H422" s="309"/>
      <c r="J422" s="309"/>
      <c r="L422" s="309"/>
      <c r="N422" s="309"/>
      <c r="P422" s="309"/>
    </row>
    <row r="423" spans="1:16" s="300" customFormat="1" outlineLevel="2">
      <c r="A423" s="299" t="s">
        <v>46</v>
      </c>
      <c r="C423" s="305" t="s">
        <v>256</v>
      </c>
      <c r="D423" s="305"/>
      <c r="E423" s="303"/>
      <c r="F423" s="309"/>
      <c r="H423" s="309"/>
      <c r="J423" s="309"/>
      <c r="L423" s="309"/>
      <c r="N423" s="309"/>
      <c r="P423" s="309"/>
    </row>
    <row r="424" spans="1:16" s="300" customFormat="1" outlineLevel="2">
      <c r="A424" s="299" t="s">
        <v>537</v>
      </c>
      <c r="C424" s="305" t="s">
        <v>216</v>
      </c>
      <c r="D424" s="305"/>
      <c r="E424" s="303"/>
      <c r="F424" s="309"/>
      <c r="H424" s="309"/>
      <c r="J424" s="309"/>
      <c r="L424" s="309"/>
      <c r="N424" s="309"/>
      <c r="P424" s="309"/>
    </row>
    <row r="425" spans="1:16" s="300" customFormat="1" outlineLevel="1">
      <c r="A425" s="299" t="s">
        <v>126</v>
      </c>
      <c r="C425" s="300" t="s">
        <v>448</v>
      </c>
      <c r="E425" s="303"/>
      <c r="F425" s="4" t="s">
        <v>484</v>
      </c>
      <c r="H425" s="4" t="s">
        <v>484</v>
      </c>
      <c r="J425" s="4" t="s">
        <v>484</v>
      </c>
      <c r="L425" s="4" t="s">
        <v>484</v>
      </c>
      <c r="N425" s="4" t="s">
        <v>484</v>
      </c>
      <c r="P425" s="4" t="s">
        <v>484</v>
      </c>
    </row>
    <row r="426" spans="1:16" s="300" customFormat="1" outlineLevel="1">
      <c r="A426" s="299" t="s">
        <v>47</v>
      </c>
      <c r="C426" s="300" t="s">
        <v>7</v>
      </c>
      <c r="D426" s="305"/>
      <c r="F426" s="4"/>
      <c r="H426" s="4"/>
      <c r="J426" s="4"/>
      <c r="L426" s="4"/>
      <c r="N426" s="4"/>
      <c r="P426" s="4"/>
    </row>
    <row r="427" spans="1:16" s="300" customFormat="1" outlineLevel="1">
      <c r="A427" s="299" t="s">
        <v>48</v>
      </c>
      <c r="C427" s="300" t="s">
        <v>83</v>
      </c>
      <c r="D427" s="305"/>
      <c r="F427" s="4"/>
      <c r="H427" s="4"/>
      <c r="J427" s="4"/>
      <c r="L427" s="4"/>
      <c r="N427" s="4"/>
      <c r="P427" s="4"/>
    </row>
    <row r="428" spans="1:16" s="300" customFormat="1" outlineLevel="1">
      <c r="A428" s="299" t="s">
        <v>112</v>
      </c>
      <c r="C428" s="300" t="s">
        <v>439</v>
      </c>
      <c r="D428" s="305"/>
      <c r="F428" s="4"/>
      <c r="H428" s="4"/>
      <c r="J428" s="4"/>
      <c r="L428" s="4"/>
      <c r="N428" s="4"/>
      <c r="P428" s="4"/>
    </row>
    <row r="429" spans="1:16" s="300" customFormat="1" outlineLevel="1">
      <c r="A429" s="299" t="s">
        <v>284</v>
      </c>
      <c r="C429" s="300" t="s">
        <v>287</v>
      </c>
      <c r="D429" s="305"/>
      <c r="F429" s="4"/>
      <c r="H429" s="4"/>
      <c r="J429" s="4"/>
      <c r="L429" s="4"/>
      <c r="N429" s="4"/>
      <c r="P429" s="4"/>
    </row>
    <row r="430" spans="1:16" s="300" customFormat="1">
      <c r="A430" s="299"/>
      <c r="C430" s="304" t="s">
        <v>257</v>
      </c>
      <c r="D430" s="305"/>
    </row>
    <row r="431" spans="1:16" s="300" customFormat="1" outlineLevel="1">
      <c r="A431" s="299" t="s">
        <v>409</v>
      </c>
      <c r="C431" s="305" t="s">
        <v>217</v>
      </c>
      <c r="E431" s="303"/>
      <c r="F431" s="4" t="s">
        <v>615</v>
      </c>
      <c r="H431" s="4" t="s">
        <v>615</v>
      </c>
      <c r="J431" s="4" t="s">
        <v>615</v>
      </c>
      <c r="L431" s="4" t="s">
        <v>615</v>
      </c>
      <c r="N431" s="4" t="s">
        <v>615</v>
      </c>
      <c r="P431" s="4" t="s">
        <v>615</v>
      </c>
    </row>
    <row r="432" spans="1:16" s="300" customFormat="1" outlineLevel="1">
      <c r="A432" s="299" t="s">
        <v>218</v>
      </c>
      <c r="C432" s="305" t="s">
        <v>573</v>
      </c>
      <c r="E432" s="303"/>
      <c r="F432" s="4" t="s">
        <v>484</v>
      </c>
      <c r="H432" s="4" t="s">
        <v>484</v>
      </c>
      <c r="J432" s="4" t="s">
        <v>484</v>
      </c>
      <c r="L432" s="4" t="s">
        <v>484</v>
      </c>
      <c r="N432" s="4" t="s">
        <v>484</v>
      </c>
      <c r="P432" s="4" t="s">
        <v>484</v>
      </c>
    </row>
    <row r="433" spans="1:16" s="300" customFormat="1" outlineLevel="1">
      <c r="A433" s="299" t="s">
        <v>294</v>
      </c>
      <c r="C433" s="305" t="s">
        <v>493</v>
      </c>
      <c r="E433" s="303"/>
      <c r="F433" s="4" t="s">
        <v>484</v>
      </c>
      <c r="H433" s="4" t="s">
        <v>484</v>
      </c>
      <c r="J433" s="4" t="s">
        <v>484</v>
      </c>
      <c r="L433" s="4" t="s">
        <v>484</v>
      </c>
      <c r="N433" s="4" t="s">
        <v>484</v>
      </c>
      <c r="P433" s="4" t="s">
        <v>484</v>
      </c>
    </row>
    <row r="434" spans="1:16" s="300" customFormat="1" outlineLevel="1">
      <c r="A434" s="299" t="s">
        <v>410</v>
      </c>
      <c r="C434" s="305" t="s">
        <v>616</v>
      </c>
      <c r="E434" s="303"/>
      <c r="F434" s="4" t="s">
        <v>292</v>
      </c>
      <c r="H434" s="4" t="s">
        <v>292</v>
      </c>
      <c r="J434" s="4" t="s">
        <v>292</v>
      </c>
      <c r="L434" s="4" t="s">
        <v>484</v>
      </c>
      <c r="N434" s="4" t="s">
        <v>292</v>
      </c>
      <c r="P434" s="4" t="s">
        <v>292</v>
      </c>
    </row>
    <row r="435" spans="1:16" s="300" customFormat="1">
      <c r="A435" s="299"/>
      <c r="C435" s="304" t="s">
        <v>295</v>
      </c>
      <c r="D435" s="312"/>
    </row>
    <row r="436" spans="1:16" s="300" customFormat="1" outlineLevel="1">
      <c r="A436" s="299"/>
      <c r="C436" s="313" t="s">
        <v>127</v>
      </c>
      <c r="D436" s="312"/>
    </row>
    <row r="437" spans="1:16" s="300" customFormat="1" outlineLevel="2">
      <c r="A437" s="299" t="s">
        <v>258</v>
      </c>
      <c r="C437" s="314" t="s">
        <v>219</v>
      </c>
      <c r="D437" s="305"/>
      <c r="F437" s="12" t="s">
        <v>84</v>
      </c>
      <c r="G437" s="315" t="s">
        <v>2</v>
      </c>
      <c r="H437" s="12" t="s">
        <v>84</v>
      </c>
      <c r="I437" s="315" t="s">
        <v>2</v>
      </c>
      <c r="J437" s="12" t="s">
        <v>84</v>
      </c>
      <c r="K437" s="315" t="s">
        <v>2</v>
      </c>
      <c r="L437" s="12" t="s">
        <v>686</v>
      </c>
      <c r="N437" s="12" t="s">
        <v>84</v>
      </c>
      <c r="P437" s="12" t="s">
        <v>84</v>
      </c>
    </row>
    <row r="438" spans="1:16" s="300" customFormat="1" outlineLevel="2">
      <c r="A438" s="299" t="s">
        <v>49</v>
      </c>
      <c r="C438" s="314" t="s">
        <v>169</v>
      </c>
      <c r="D438" s="305"/>
      <c r="F438" s="4" t="s">
        <v>494</v>
      </c>
      <c r="H438" s="4" t="s">
        <v>494</v>
      </c>
      <c r="J438" s="4" t="s">
        <v>494</v>
      </c>
      <c r="L438" s="4" t="s">
        <v>494</v>
      </c>
      <c r="N438" s="4" t="s">
        <v>494</v>
      </c>
      <c r="P438" s="4" t="s">
        <v>494</v>
      </c>
    </row>
    <row r="439" spans="1:16" s="300" customFormat="1" outlineLevel="2">
      <c r="A439" s="299" t="s">
        <v>411</v>
      </c>
      <c r="C439" s="314" t="s">
        <v>617</v>
      </c>
      <c r="D439" s="305"/>
      <c r="F439" s="4"/>
      <c r="H439" s="4"/>
      <c r="J439" s="4"/>
      <c r="L439" s="4"/>
      <c r="N439" s="4"/>
      <c r="P439" s="4"/>
    </row>
    <row r="440" spans="1:16" s="300" customFormat="1" outlineLevel="1">
      <c r="A440" s="299"/>
      <c r="C440" s="313" t="s">
        <v>335</v>
      </c>
      <c r="D440" s="305"/>
    </row>
    <row r="441" spans="1:16" s="317" customFormat="1" outlineLevel="2">
      <c r="A441" s="316" t="s">
        <v>574</v>
      </c>
      <c r="C441" s="314" t="s">
        <v>259</v>
      </c>
      <c r="D441" s="318"/>
      <c r="F441" s="46" t="s">
        <v>575</v>
      </c>
      <c r="G441" s="319" t="s">
        <v>2</v>
      </c>
      <c r="H441" s="46" t="s">
        <v>575</v>
      </c>
      <c r="I441" s="319" t="s">
        <v>2</v>
      </c>
      <c r="J441" s="46" t="s">
        <v>575</v>
      </c>
      <c r="L441" s="46" t="s">
        <v>687</v>
      </c>
      <c r="N441" s="46" t="s">
        <v>575</v>
      </c>
      <c r="P441" s="46" t="s">
        <v>575</v>
      </c>
    </row>
    <row r="442" spans="1:16" s="317" customFormat="1" outlineLevel="2">
      <c r="A442" s="316"/>
      <c r="C442" s="320" t="s">
        <v>170</v>
      </c>
      <c r="D442" s="320"/>
      <c r="E442" s="320"/>
      <c r="F442" s="321"/>
      <c r="H442" s="321"/>
      <c r="J442" s="321"/>
      <c r="L442" s="321"/>
      <c r="N442" s="321"/>
      <c r="P442" s="321"/>
    </row>
    <row r="443" spans="1:16" s="317" customFormat="1" outlineLevel="2">
      <c r="A443" s="316" t="s">
        <v>412</v>
      </c>
      <c r="C443" s="314" t="s">
        <v>576</v>
      </c>
      <c r="D443" s="318"/>
      <c r="F443" s="47"/>
      <c r="H443" s="47"/>
      <c r="J443" s="47"/>
      <c r="L443" s="47"/>
      <c r="N443" s="47"/>
      <c r="P443" s="47"/>
    </row>
    <row r="444" spans="1:16" s="317" customFormat="1" outlineLevel="2">
      <c r="A444" s="316"/>
      <c r="C444" s="320" t="s">
        <v>538</v>
      </c>
      <c r="D444" s="320"/>
      <c r="E444" s="320"/>
      <c r="F444" s="321"/>
      <c r="H444" s="321"/>
      <c r="J444" s="321"/>
      <c r="L444" s="321"/>
      <c r="N444" s="321"/>
      <c r="P444" s="321"/>
    </row>
    <row r="445" spans="1:16" s="317" customFormat="1" outlineLevel="2">
      <c r="A445" s="316"/>
      <c r="C445" s="314" t="s">
        <v>336</v>
      </c>
      <c r="D445" s="320"/>
      <c r="E445" s="320"/>
      <c r="F445" s="321"/>
      <c r="H445" s="321"/>
      <c r="J445" s="321"/>
      <c r="L445" s="321"/>
      <c r="N445" s="321"/>
      <c r="P445" s="321"/>
    </row>
    <row r="446" spans="1:16" s="317" customFormat="1" outlineLevel="2">
      <c r="A446" s="316" t="s">
        <v>413</v>
      </c>
      <c r="C446" s="322" t="s">
        <v>577</v>
      </c>
      <c r="D446" s="318"/>
      <c r="F446" s="47"/>
      <c r="H446" s="47"/>
      <c r="J446" s="47"/>
      <c r="L446" s="47"/>
      <c r="N446" s="47"/>
      <c r="P446" s="47"/>
    </row>
    <row r="447" spans="1:16" s="317" customFormat="1" outlineLevel="2">
      <c r="A447" s="316" t="s">
        <v>618</v>
      </c>
      <c r="C447" s="322" t="s">
        <v>495</v>
      </c>
      <c r="D447" s="318"/>
      <c r="F447" s="47"/>
      <c r="H447" s="47"/>
      <c r="J447" s="47"/>
      <c r="L447" s="47"/>
      <c r="N447" s="47"/>
      <c r="P447" s="47"/>
    </row>
    <row r="448" spans="1:16" s="317" customFormat="1" outlineLevel="2">
      <c r="A448" s="316" t="s">
        <v>539</v>
      </c>
      <c r="C448" s="322" t="s">
        <v>496</v>
      </c>
      <c r="D448" s="318"/>
      <c r="F448" s="47"/>
      <c r="H448" s="47"/>
      <c r="J448" s="47"/>
      <c r="L448" s="47"/>
      <c r="N448" s="47"/>
      <c r="P448" s="47"/>
    </row>
    <row r="449" spans="1:16" s="317" customFormat="1" outlineLevel="2">
      <c r="A449" s="316" t="s">
        <v>220</v>
      </c>
      <c r="C449" s="322" t="s">
        <v>619</v>
      </c>
      <c r="D449" s="318"/>
      <c r="F449" s="47"/>
      <c r="H449" s="47"/>
      <c r="J449" s="47"/>
      <c r="L449" s="47"/>
      <c r="N449" s="47"/>
      <c r="P449" s="47"/>
    </row>
    <row r="450" spans="1:16" s="317" customFormat="1" outlineLevel="2">
      <c r="A450" s="316"/>
      <c r="C450" s="323"/>
      <c r="D450" s="323"/>
    </row>
    <row r="451" spans="1:16" s="317" customFormat="1" outlineLevel="2">
      <c r="A451" s="316" t="s">
        <v>85</v>
      </c>
      <c r="C451" s="324" t="s">
        <v>128</v>
      </c>
      <c r="D451" s="318"/>
      <c r="F451" s="47"/>
      <c r="H451" s="47"/>
      <c r="J451" s="47"/>
      <c r="L451" s="47"/>
      <c r="N451" s="47"/>
      <c r="P451" s="47"/>
    </row>
    <row r="452" spans="1:16" s="300" customFormat="1" collapsed="1">
      <c r="A452" s="299"/>
      <c r="C452" s="304" t="s">
        <v>337</v>
      </c>
      <c r="D452" s="305"/>
    </row>
    <row r="453" spans="1:16" s="300" customFormat="1" hidden="1" outlineLevel="1">
      <c r="A453" s="299"/>
      <c r="C453" s="302" t="s">
        <v>86</v>
      </c>
      <c r="D453" s="305"/>
    </row>
    <row r="454" spans="1:16" s="300" customFormat="1" hidden="1" outlineLevel="1">
      <c r="A454" s="299" t="s">
        <v>578</v>
      </c>
      <c r="C454" s="305" t="s">
        <v>260</v>
      </c>
      <c r="D454" s="305"/>
      <c r="F454" s="12" t="s">
        <v>2</v>
      </c>
      <c r="G454" s="315" t="s">
        <v>2</v>
      </c>
      <c r="H454" s="12" t="s">
        <v>2</v>
      </c>
      <c r="I454" s="315" t="s">
        <v>2</v>
      </c>
      <c r="J454" s="12" t="s">
        <v>2</v>
      </c>
      <c r="K454" s="315" t="s">
        <v>2</v>
      </c>
      <c r="L454" s="12" t="s">
        <v>2</v>
      </c>
      <c r="N454" s="12" t="s">
        <v>2</v>
      </c>
      <c r="P454" s="12" t="s">
        <v>2</v>
      </c>
    </row>
    <row r="455" spans="1:16" s="300" customFormat="1" hidden="1" outlineLevel="1">
      <c r="A455" s="299" t="s">
        <v>261</v>
      </c>
      <c r="C455" s="305" t="s">
        <v>620</v>
      </c>
      <c r="D455" s="305"/>
      <c r="F455" s="12" t="s">
        <v>2</v>
      </c>
      <c r="H455" s="12" t="s">
        <v>2</v>
      </c>
      <c r="J455" s="12" t="s">
        <v>2</v>
      </c>
      <c r="L455" s="12" t="s">
        <v>2</v>
      </c>
      <c r="N455" s="12" t="s">
        <v>2</v>
      </c>
      <c r="P455" s="12" t="s">
        <v>2</v>
      </c>
    </row>
    <row r="456" spans="1:16" s="300" customFormat="1" hidden="1" outlineLevel="1">
      <c r="A456" s="299"/>
      <c r="C456" s="302" t="s">
        <v>50</v>
      </c>
      <c r="D456" s="312"/>
    </row>
    <row r="457" spans="1:16" s="300" customFormat="1" hidden="1" outlineLevel="1">
      <c r="A457" s="299" t="s">
        <v>579</v>
      </c>
      <c r="C457" s="305" t="s">
        <v>221</v>
      </c>
      <c r="D457" s="305"/>
      <c r="F457" s="12" t="s">
        <v>2</v>
      </c>
      <c r="G457" s="315" t="s">
        <v>2</v>
      </c>
      <c r="H457" s="12" t="s">
        <v>2</v>
      </c>
      <c r="I457" s="315" t="s">
        <v>2</v>
      </c>
      <c r="J457" s="12" t="s">
        <v>2</v>
      </c>
      <c r="K457" s="315" t="s">
        <v>2</v>
      </c>
      <c r="L457" s="12" t="s">
        <v>2</v>
      </c>
      <c r="N457" s="12" t="s">
        <v>2</v>
      </c>
      <c r="P457" s="12" t="s">
        <v>2</v>
      </c>
    </row>
    <row r="458" spans="1:16" s="300" customFormat="1">
      <c r="A458" s="299"/>
      <c r="C458" s="304" t="s">
        <v>580</v>
      </c>
      <c r="D458" s="312"/>
    </row>
    <row r="459" spans="1:16" s="300" customFormat="1" outlineLevel="1">
      <c r="A459" s="299" t="s">
        <v>222</v>
      </c>
      <c r="C459" s="325" t="s">
        <v>262</v>
      </c>
      <c r="E459" s="303"/>
      <c r="F459" s="4" t="s">
        <v>292</v>
      </c>
      <c r="H459" s="4" t="s">
        <v>292</v>
      </c>
      <c r="J459" s="4" t="s">
        <v>292</v>
      </c>
      <c r="L459" s="217" t="s">
        <v>292</v>
      </c>
      <c r="N459" s="4" t="s">
        <v>292</v>
      </c>
      <c r="P459" s="4" t="s">
        <v>292</v>
      </c>
    </row>
    <row r="460" spans="1:16" s="300" customFormat="1" outlineLevel="1">
      <c r="A460" s="299" t="s">
        <v>540</v>
      </c>
      <c r="C460" s="325" t="s">
        <v>51</v>
      </c>
      <c r="E460" s="303"/>
      <c r="F460" s="4" t="s">
        <v>292</v>
      </c>
      <c r="H460" s="4" t="s">
        <v>292</v>
      </c>
      <c r="J460" s="4" t="s">
        <v>292</v>
      </c>
      <c r="L460" s="217" t="s">
        <v>292</v>
      </c>
      <c r="N460" s="4" t="s">
        <v>292</v>
      </c>
      <c r="P460" s="4" t="s">
        <v>292</v>
      </c>
    </row>
    <row r="461" spans="1:16" s="300" customFormat="1" outlineLevel="1">
      <c r="A461" s="299" t="s">
        <v>397</v>
      </c>
      <c r="C461" s="325" t="s">
        <v>399</v>
      </c>
      <c r="E461" s="303"/>
      <c r="F461" s="4" t="s">
        <v>484</v>
      </c>
      <c r="H461" s="4" t="s">
        <v>484</v>
      </c>
      <c r="J461" s="4" t="s">
        <v>484</v>
      </c>
      <c r="L461" s="217"/>
      <c r="N461" s="4" t="s">
        <v>484</v>
      </c>
      <c r="P461" s="4" t="s">
        <v>484</v>
      </c>
    </row>
    <row r="462" spans="1:16" s="300" customFormat="1" outlineLevel="1">
      <c r="A462" s="299" t="s">
        <v>449</v>
      </c>
      <c r="C462" s="325" t="s">
        <v>497</v>
      </c>
      <c r="E462" s="303"/>
      <c r="F462" s="4" t="s">
        <v>484</v>
      </c>
      <c r="H462" s="4" t="s">
        <v>484</v>
      </c>
      <c r="J462" s="4" t="s">
        <v>484</v>
      </c>
      <c r="L462" s="217" t="s">
        <v>484</v>
      </c>
      <c r="N462" s="4" t="s">
        <v>484</v>
      </c>
      <c r="P462" s="4" t="s">
        <v>484</v>
      </c>
    </row>
    <row r="463" spans="1:16" s="300" customFormat="1" outlineLevel="1">
      <c r="A463" s="299" t="s">
        <v>450</v>
      </c>
      <c r="C463" s="325" t="s">
        <v>498</v>
      </c>
      <c r="E463" s="303"/>
      <c r="F463" s="4" t="s">
        <v>484</v>
      </c>
      <c r="H463" s="4" t="s">
        <v>484</v>
      </c>
      <c r="J463" s="4" t="s">
        <v>484</v>
      </c>
      <c r="L463" s="217" t="s">
        <v>484</v>
      </c>
      <c r="N463" s="4" t="s">
        <v>484</v>
      </c>
      <c r="P463" s="4" t="s">
        <v>484</v>
      </c>
    </row>
    <row r="464" spans="1:16" s="300" customFormat="1" outlineLevel="1">
      <c r="A464" s="299" t="s">
        <v>621</v>
      </c>
      <c r="C464" s="325" t="s">
        <v>414</v>
      </c>
      <c r="E464" s="303"/>
      <c r="F464" s="4" t="s">
        <v>484</v>
      </c>
      <c r="H464" s="4" t="s">
        <v>484</v>
      </c>
      <c r="J464" s="4" t="s">
        <v>484</v>
      </c>
      <c r="L464" s="217" t="s">
        <v>484</v>
      </c>
      <c r="N464" s="4" t="s">
        <v>484</v>
      </c>
      <c r="P464" s="4" t="s">
        <v>484</v>
      </c>
    </row>
    <row r="465" spans="1:16" s="300" customFormat="1" outlineLevel="1">
      <c r="A465" s="299" t="s">
        <v>563</v>
      </c>
      <c r="C465" s="325" t="s">
        <v>480</v>
      </c>
      <c r="E465" s="303"/>
      <c r="F465" s="4"/>
      <c r="H465" s="4"/>
      <c r="J465" s="4"/>
      <c r="L465" s="217"/>
      <c r="N465" s="4"/>
      <c r="P465" s="4"/>
    </row>
    <row r="466" spans="1:16" s="300" customFormat="1" outlineLevel="1">
      <c r="A466" s="299" t="s">
        <v>162</v>
      </c>
      <c r="C466" s="325" t="s">
        <v>206</v>
      </c>
      <c r="E466" s="303"/>
      <c r="F466" s="4" t="s">
        <v>484</v>
      </c>
      <c r="H466" s="4" t="s">
        <v>484</v>
      </c>
      <c r="J466" s="4" t="s">
        <v>484</v>
      </c>
      <c r="L466" s="217"/>
      <c r="N466" s="4" t="s">
        <v>484</v>
      </c>
      <c r="P466" s="4" t="s">
        <v>484</v>
      </c>
    </row>
    <row r="467" spans="1:16" s="300" customFormat="1" outlineLevel="1">
      <c r="A467" s="299" t="s">
        <v>659</v>
      </c>
      <c r="C467" s="325" t="s">
        <v>660</v>
      </c>
      <c r="E467" s="303"/>
      <c r="F467" s="309"/>
      <c r="H467" s="309"/>
      <c r="J467" s="309"/>
      <c r="L467" s="253"/>
      <c r="N467" s="309"/>
      <c r="P467" s="309"/>
    </row>
    <row r="468" spans="1:16" s="300" customFormat="1" outlineLevel="1">
      <c r="A468" s="299" t="s">
        <v>326</v>
      </c>
      <c r="C468" s="325" t="s">
        <v>365</v>
      </c>
      <c r="E468" s="303"/>
      <c r="F468" s="4"/>
      <c r="H468" s="4"/>
      <c r="J468" s="4"/>
      <c r="L468" s="248"/>
      <c r="N468" s="4"/>
      <c r="P468" s="4"/>
    </row>
    <row r="469" spans="1:16" s="300" customFormat="1" outlineLevel="1">
      <c r="A469" s="299"/>
      <c r="C469" s="325"/>
      <c r="E469" s="303"/>
    </row>
    <row r="470" spans="1:16" s="300" customFormat="1" outlineLevel="1">
      <c r="A470" s="299" t="s">
        <v>171</v>
      </c>
      <c r="C470" s="325" t="s">
        <v>8</v>
      </c>
      <c r="D470" s="305"/>
      <c r="F470" s="4" t="s">
        <v>292</v>
      </c>
      <c r="H470" s="4" t="s">
        <v>292</v>
      </c>
      <c r="J470" s="4" t="s">
        <v>292</v>
      </c>
      <c r="L470" s="4" t="s">
        <v>292</v>
      </c>
      <c r="N470" s="4" t="s">
        <v>292</v>
      </c>
      <c r="P470" s="4" t="s">
        <v>292</v>
      </c>
    </row>
    <row r="471" spans="1:16" s="300" customFormat="1" outlineLevel="1">
      <c r="A471" s="299"/>
      <c r="C471" s="326" t="s">
        <v>170</v>
      </c>
      <c r="D471" s="326"/>
      <c r="E471" s="326"/>
      <c r="F471" s="327"/>
      <c r="H471" s="327"/>
      <c r="J471" s="327"/>
      <c r="L471" s="327"/>
      <c r="N471" s="327"/>
      <c r="P471" s="327"/>
    </row>
    <row r="472" spans="1:16" s="300" customFormat="1" outlineLevel="1">
      <c r="A472" s="299" t="s">
        <v>415</v>
      </c>
      <c r="C472" s="305" t="s">
        <v>541</v>
      </c>
      <c r="D472" s="305"/>
      <c r="F472" s="4" t="s">
        <v>292</v>
      </c>
      <c r="H472" s="4" t="s">
        <v>292</v>
      </c>
      <c r="J472" s="4" t="s">
        <v>292</v>
      </c>
      <c r="L472" s="4" t="s">
        <v>292</v>
      </c>
      <c r="N472" s="4" t="s">
        <v>292</v>
      </c>
      <c r="P472" s="4" t="s">
        <v>292</v>
      </c>
    </row>
    <row r="473" spans="1:16" s="300" customFormat="1" outlineLevel="1">
      <c r="A473" s="299" t="s">
        <v>223</v>
      </c>
      <c r="C473" s="305" t="s">
        <v>9</v>
      </c>
      <c r="D473" s="305"/>
      <c r="F473" s="4" t="s">
        <v>292</v>
      </c>
      <c r="H473" s="4" t="s">
        <v>292</v>
      </c>
      <c r="J473" s="4" t="s">
        <v>292</v>
      </c>
      <c r="L473" s="4" t="s">
        <v>292</v>
      </c>
      <c r="N473" s="4" t="s">
        <v>292</v>
      </c>
      <c r="P473" s="4" t="s">
        <v>292</v>
      </c>
    </row>
    <row r="474" spans="1:16" s="300" customFormat="1" outlineLevel="1">
      <c r="A474" s="299" t="s">
        <v>224</v>
      </c>
      <c r="C474" s="305" t="s">
        <v>296</v>
      </c>
      <c r="D474" s="305"/>
      <c r="F474" s="4" t="s">
        <v>292</v>
      </c>
      <c r="H474" s="4" t="s">
        <v>292</v>
      </c>
      <c r="J474" s="4" t="s">
        <v>292</v>
      </c>
      <c r="L474" s="4" t="s">
        <v>292</v>
      </c>
      <c r="N474" s="4" t="s">
        <v>292</v>
      </c>
      <c r="P474" s="4" t="s">
        <v>292</v>
      </c>
    </row>
    <row r="475" spans="1:16" s="300" customFormat="1" collapsed="1">
      <c r="A475" s="299"/>
      <c r="C475" s="304" t="s">
        <v>542</v>
      </c>
      <c r="D475" s="312"/>
    </row>
    <row r="476" spans="1:16" s="300" customFormat="1" hidden="1" outlineLevel="1">
      <c r="A476" s="299" t="s">
        <v>543</v>
      </c>
      <c r="C476" s="300" t="s">
        <v>367</v>
      </c>
      <c r="E476" s="303"/>
      <c r="F476" s="37"/>
      <c r="H476" s="37"/>
      <c r="J476" s="37"/>
      <c r="L476" s="37"/>
      <c r="N476" s="37"/>
      <c r="P476" s="37"/>
    </row>
    <row r="477" spans="1:16" s="300" customFormat="1" hidden="1" outlineLevel="1">
      <c r="A477" s="299" t="s">
        <v>581</v>
      </c>
      <c r="C477" s="300" t="s">
        <v>129</v>
      </c>
      <c r="E477" s="303"/>
      <c r="F477" s="37"/>
      <c r="H477" s="37"/>
      <c r="J477" s="37"/>
      <c r="L477" s="37"/>
      <c r="N477" s="37"/>
      <c r="P477" s="37"/>
    </row>
    <row r="478" spans="1:16" s="300" customFormat="1" hidden="1" outlineLevel="1">
      <c r="A478" s="299" t="s">
        <v>225</v>
      </c>
      <c r="C478" s="300" t="s">
        <v>297</v>
      </c>
      <c r="E478" s="303"/>
      <c r="F478" s="37"/>
      <c r="H478" s="37"/>
      <c r="J478" s="37"/>
      <c r="L478" s="37"/>
      <c r="N478" s="37"/>
      <c r="P478" s="37"/>
    </row>
    <row r="480" spans="1:16">
      <c r="C480" s="276" t="s">
        <v>11</v>
      </c>
    </row>
    <row r="481" spans="3:3">
      <c r="C481" s="276" t="s">
        <v>298</v>
      </c>
    </row>
  </sheetData>
  <sheetProtection formatCells="0" autoFilter="0"/>
  <dataValidations count="7">
    <dataValidation type="list" allowBlank="1" showInputMessage="1" showErrorMessage="1" sqref="C66" xr:uid="{00000000-0002-0000-0000-000000000000}">
      <formula1>"By Table Type, By Table"</formula1>
    </dataValidation>
    <dataValidation type="list" allowBlank="1" showInputMessage="1" showErrorMessage="1" sqref="D22:D23" xr:uid="{00000000-0002-0000-0000-000001000000}">
      <formula1>"Off,Process,ProcessSilently"</formula1>
    </dataValidation>
    <dataValidation type="list" allowBlank="1" showInputMessage="1" showErrorMessage="1" sqref="D60" xr:uid="{00000000-0002-0000-0000-000002000000}">
      <formula1>"Off,OnManualRefreshOnly,OnOpenOnly,OnManualRefreshAndOpen"</formula1>
    </dataValidation>
    <dataValidation type="list" allowBlank="1" showInputMessage="1" showErrorMessage="1" sqref="L91 L159 N91 N159 P91 P159 J159 F159 F91 H159 H91 J91 L227 N227 P227 F227 H227 J227 L295 N295 P295 F295 H295 J295 L363 N363 P363 F363 H363 J363 H431 F431 J431 L431 N431 P431" xr:uid="{00000000-0002-0000-0000-000003000000}">
      <formula1>"Insert,InsertRange"</formula1>
    </dataValidation>
    <dataValidation type="list" allowBlank="1" showInputMessage="1" showErrorMessage="1" sqref="L39 N39 P39 F39 H39 J39" xr:uid="{00000000-0002-0000-0000-000004000000}">
      <formula1>"Visible,Hidden"</formula1>
    </dataValidation>
    <dataValidation type="list" allowBlank="1" showInputMessage="1" showErrorMessage="1" sqref="D28 D30 D32:D34 D58:D59 D61 D18:D21 P200:P202 L8:L10 L13 L16 L44:L45 L47 L56 L62:L63 L74 L85 L92:L94 L119:L124 L126 L130 L132:L134 L142 L153 L160:L162 L187:L192 L194 L198 L200:L202 N8:N10 N13 N16 N44:N45 N47 N56 N62:N63 N74 N85 N92:N94 N119:N124 N126 N130 N132:N134 N142 N153 N160:N162 N187:N192 N194 N198 N200:N202 P8:P10 P13 P16 P44:P45 P47 P56 P62:P63 P74 P85 P92:P94 P119:P124 P126 P130 P132:P134 P142 P153 P160:P162 P187:P192 P194 P198 J44:J45 J47 J56 J62:J63 J8:J10 J92:J94 J119:J124 D24:D25 J126 J130 J132:J134 J74 J153 J160:J162 J187:J192 J194 F200:F201 J13 J85 J142 H200:H201 F74 F194 F187:F192 F160:F162 F153 F8:F10 F132:F134 F130 F126 F119:F124 F92:F94 F85 F62:F63 F56 F47 F44:F45 F16 F13 F142 H142 H85 H13 P40:P41 H194 H187:H192 H160:H162 H153 H74 H132:H134 H130 H126 H119:H124 H92:H94 H8:H10 H62:H63 H56 H47 H44:H45 H16 J16 L210 L221 L228:L230 L255:L260 L262 L266 L268:L270 N210 N221 N228:N230 N255:N260 N262 N266 N268:N270 P210 P221 P228:P230 P255:P260 P262 P266 P268:P270 J228:J230 J255:J260 J262 J266 J268:J270 J210 J221 F210 F268:F270 F266 F262 F255:F260 F228:F230 F221 H221 H210 H268:H270 H266 H262 H255:H260 H228:H230 L278 L289 L296:L298 L323:L328 L330 L334 L336:L338 N278 N289 N296:N298 N323:N328 N330 N334 N336:N338 P278 P289 P296:P298 P323:P328 P330 P334 P336:P338 J296:J298 J323:J328 J330 J334 J336:J338 J278 J289 F278 F336:F338 F334 F330 F323:F328 F296:F298 F289 H289 H278 H336:H338 H334 H330 H323:H328 H296:H298 L346 L357 L364:L366 L391:L396 L398 L402 L404:L406 N346 N357 N364:N366 N391:N396 N398 N402 N404:N406 P346 P357 P364:P366 P391:P396 P398 P402 P404:P406 J364:J366 J391:J396 J398 J402 J404:J406 J346 J357 F346 F404:F406 F402 F398 F391:F396 F364:F366 F357 H357 H346 H404:H406 H402 H398 H391:H396 H364:H366 F40:F41 H40:H41 J40:J41 L40:L41 N40:N41 J200:J201 H414 H425 H432:H434 H459:H464 H466 H470 H472:H474 F414 F425 F432:F434 F459:F464 F466 F470 F472:F474 J414 J425 J432:J434 J459:J464 J466 J470 J472:J474 L414 L425 L432:L434 P470 P472:P474 L470 L472:L474 N414 N425 N432:N434 N459:N464 N466 N470 N472:N474 P414 P425 P432:P434 P459:P464 P466 L459:L464 L466" xr:uid="{00000000-0002-0000-0000-000005000000}">
      <formula1>"Off,On"</formula1>
    </dataValidation>
    <dataValidation type="list" allowBlank="1" showInputMessage="1" showErrorMessage="1" sqref="C67:C70" xr:uid="{00000000-0002-0000-0000-000006000000}">
      <formula1>"By TableType, By Table"</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8"/>
  <sheetViews>
    <sheetView showGridLines="0" topLeftCell="H52" workbookViewId="0">
      <selection activeCell="I74" sqref="I74"/>
    </sheetView>
  </sheetViews>
  <sheetFormatPr defaultColWidth="9" defaultRowHeight="15"/>
  <cols>
    <col min="1" max="4" width="9" style="74" customWidth="1"/>
    <col min="5" max="5" width="1.59765625" style="120" customWidth="1"/>
    <col min="6" max="6" width="2.19921875" style="74" customWidth="1"/>
    <col min="7" max="7" width="15" style="74" customWidth="1"/>
    <col min="8" max="8" width="45" style="196" customWidth="1"/>
    <col min="9" max="9" width="48.5" style="74" customWidth="1"/>
    <col min="10" max="10" width="21.5" style="74" customWidth="1"/>
    <col min="11" max="11" width="15.19921875" style="74" customWidth="1"/>
    <col min="12" max="12" width="21.5" style="74" customWidth="1"/>
    <col min="13" max="17" width="8.59765625" style="74" customWidth="1"/>
    <col min="18" max="16384" width="9" style="74"/>
  </cols>
  <sheetData>
    <row r="1" spans="1:17">
      <c r="E1" s="74"/>
      <c r="H1" s="74"/>
    </row>
    <row r="2" spans="1:17">
      <c r="E2" s="74"/>
      <c r="H2" s="74"/>
    </row>
    <row r="3" spans="1:17">
      <c r="E3" s="74"/>
    </row>
    <row r="4" spans="1:17">
      <c r="E4" s="74"/>
    </row>
    <row r="5" spans="1:17">
      <c r="E5" s="74"/>
    </row>
    <row r="6" spans="1:17">
      <c r="E6" s="74"/>
      <c r="H6" s="196" t="s">
        <v>317</v>
      </c>
      <c r="I6" s="74" t="str">
        <f>ADDRESS(ROW(E8),COLUMN(E8),4)&amp;":"&amp;ADDRESS(ROW(I12),COLUMN(I12),4)</f>
        <v>E8:I12</v>
      </c>
    </row>
    <row r="7" spans="1:17" ht="9" customHeight="1">
      <c r="E7" s="74"/>
    </row>
    <row r="8" spans="1:17" s="120" customFormat="1">
      <c r="A8" s="74"/>
      <c r="B8" s="74"/>
      <c r="C8" s="74"/>
      <c r="D8" s="74"/>
      <c r="H8" s="156"/>
    </row>
    <row r="9" spans="1:17" s="164" customFormat="1">
      <c r="A9" s="74"/>
      <c r="B9" s="74"/>
      <c r="C9" s="74"/>
      <c r="D9" s="74"/>
      <c r="E9" s="120"/>
      <c r="H9" s="195"/>
    </row>
    <row r="10" spans="1:17" s="164" customFormat="1" ht="19.2">
      <c r="A10" s="74"/>
      <c r="B10" s="74"/>
      <c r="C10" s="74"/>
      <c r="D10" s="74"/>
      <c r="E10" s="120"/>
      <c r="H10" s="201" t="s">
        <v>473</v>
      </c>
      <c r="I10" s="169" t="s">
        <v>360</v>
      </c>
      <c r="J10" s="89" t="s">
        <v>555</v>
      </c>
      <c r="K10" s="89" t="s">
        <v>242</v>
      </c>
      <c r="L10" s="89" t="s">
        <v>639</v>
      </c>
      <c r="M10" s="89" t="s">
        <v>555</v>
      </c>
      <c r="N10" s="89" t="s">
        <v>242</v>
      </c>
      <c r="O10" s="89" t="s">
        <v>639</v>
      </c>
      <c r="P10" s="89" t="s">
        <v>555</v>
      </c>
      <c r="Q10" s="89" t="s">
        <v>242</v>
      </c>
    </row>
    <row r="11" spans="1:17" s="164" customFormat="1" ht="15.6" thickBot="1">
      <c r="A11" s="74"/>
      <c r="B11" s="74"/>
      <c r="C11" s="74"/>
      <c r="D11" s="74"/>
      <c r="E11" s="120"/>
      <c r="G11" s="164" t="s">
        <v>499</v>
      </c>
      <c r="H11" s="192" t="s">
        <v>418</v>
      </c>
      <c r="I11" s="190" t="s">
        <v>108</v>
      </c>
      <c r="J11" s="84" t="s">
        <v>108</v>
      </c>
      <c r="K11" s="84" t="s">
        <v>108</v>
      </c>
      <c r="L11" s="84" t="s">
        <v>233</v>
      </c>
      <c r="M11" s="84" t="s">
        <v>233</v>
      </c>
      <c r="N11" s="84" t="s">
        <v>233</v>
      </c>
      <c r="O11" s="84" t="s">
        <v>373</v>
      </c>
      <c r="P11" s="84" t="s">
        <v>373</v>
      </c>
      <c r="Q11" s="84" t="s">
        <v>373</v>
      </c>
    </row>
    <row r="12" spans="1:17" s="181" customFormat="1">
      <c r="E12" s="209"/>
      <c r="H12" s="204"/>
    </row>
    <row r="13" spans="1:17">
      <c r="G13" s="94" t="s">
        <v>361</v>
      </c>
      <c r="H13" s="92"/>
    </row>
    <row r="14" spans="1:17">
      <c r="H14" s="74"/>
      <c r="I14" s="161"/>
    </row>
    <row r="15" spans="1:17">
      <c r="H15" s="74" t="s">
        <v>423</v>
      </c>
      <c r="I15" s="51">
        <f>_xll.GetPeriod("System")</f>
        <v>8</v>
      </c>
    </row>
    <row r="16" spans="1:17">
      <c r="H16" s="196" t="s">
        <v>68</v>
      </c>
      <c r="I16" s="51">
        <f>_xll.GetData("Year","Code='CYF'","Year")</f>
        <v>2020</v>
      </c>
      <c r="J16" s="51">
        <f>+I16-1</f>
        <v>2019</v>
      </c>
      <c r="K16" s="51">
        <f>+I16+1</f>
        <v>2021</v>
      </c>
      <c r="L16" s="51">
        <f>J16-1</f>
        <v>2018</v>
      </c>
    </row>
    <row r="17" spans="7:17">
      <c r="H17" s="196" t="s">
        <v>388</v>
      </c>
      <c r="I17" s="51" t="str">
        <f>_xll.GetData("Period.Month", "Code="&amp;$I$15)</f>
        <v>February</v>
      </c>
    </row>
    <row r="18" spans="7:17">
      <c r="H18" s="196" t="s">
        <v>604</v>
      </c>
      <c r="I18" s="51" t="str">
        <f>_xll.GetData("Period.CY_Month", "Code="&amp;$I$15)</f>
        <v>Feb-2020</v>
      </c>
      <c r="J18" s="51" t="str">
        <f>_xll.GetData("Period.LY_Month", "Code="&amp;$I$15)</f>
        <v>Feb-2019</v>
      </c>
      <c r="K18" s="51" t="str">
        <f>_xll.GetData("Period.NY_Month", "Code="&amp;$I$15)</f>
        <v>Feb-2021</v>
      </c>
    </row>
    <row r="19" spans="7:17">
      <c r="H19" s="196" t="s">
        <v>148</v>
      </c>
      <c r="I19" s="51" t="str">
        <f>_xll.GetData("SuiteVariables.Parameter", "Suite_INFO = 'ORGNAME'")</f>
        <v>KHA Health</v>
      </c>
    </row>
    <row r="20" spans="7:17">
      <c r="H20" s="196" t="s">
        <v>640</v>
      </c>
      <c r="I20" s="51" t="str">
        <f>"Period Ending "&amp;I17&amp;" "&amp;I16</f>
        <v>Period Ending February 2020</v>
      </c>
    </row>
    <row r="21" spans="7:17">
      <c r="H21" s="196" t="s">
        <v>149</v>
      </c>
      <c r="I21" s="51" t="str">
        <f>"Period Ending "&amp;_xll.GetData("Period.Month", "Code = "&amp;I15)&amp;" "&amp;_xll.GetData("Period.CYDays", "Code = "&amp;I15)&amp;", "&amp;_xll.GetData("Period.CY_yr", "Code = "&amp;I15)</f>
        <v>Period Ending February 29, 2020</v>
      </c>
    </row>
    <row r="22" spans="7:17">
      <c r="I22" s="210"/>
    </row>
    <row r="24" spans="7:17">
      <c r="H24" s="196" t="s">
        <v>150</v>
      </c>
      <c r="I24" s="82">
        <f>_xll.GetData("Period.CYFTE","Code="&amp;$I$15)</f>
        <v>167.561643835616</v>
      </c>
      <c r="J24" s="82">
        <f>_xll.GetData("Period.LYFTE","Code="&amp;$I$15)</f>
        <v>159.561643835616</v>
      </c>
      <c r="K24" s="82">
        <f>_xll.GetData("Period.NYFTE","Code="&amp;$I$15)</f>
        <v>159.561643835616</v>
      </c>
      <c r="L24" s="82">
        <f>_xll.GetData("Period.CYTDFTE","Code="&amp;$I$15)</f>
        <v>1392.7671232876701</v>
      </c>
      <c r="M24" s="82">
        <f>_xll.GetData("Period.LYTDFTE","Code="&amp;$I$15)</f>
        <v>1384.7671232876701</v>
      </c>
      <c r="N24" s="82">
        <f>_xll.GetData("Period.NYTDFTE","Code="&amp;$I$15)</f>
        <v>1384.7671232876701</v>
      </c>
      <c r="O24" s="82">
        <f>_xll.GetData("Period.CYTDFTE","Code=12")</f>
        <v>2088</v>
      </c>
      <c r="P24" s="82">
        <f>_xll.GetData("Period.LYTDFTE","Code=12")</f>
        <v>2080</v>
      </c>
      <c r="Q24" s="82">
        <f>_xll.GetData("Period.NYTDFTE","Code=12")</f>
        <v>2080</v>
      </c>
    </row>
    <row r="25" spans="7:17">
      <c r="H25" s="196" t="s">
        <v>624</v>
      </c>
      <c r="I25" s="82">
        <f>_xll.GetData("Period.CYDays","Code="&amp;$I$15)</f>
        <v>29</v>
      </c>
      <c r="J25" s="82">
        <f>_xll.GetData("Period.LYDays","Code="&amp;$I$15)</f>
        <v>28</v>
      </c>
      <c r="K25" s="82">
        <f>_xll.GetData("Period.NYDays", "Code="&amp;$I$15)</f>
        <v>28</v>
      </c>
      <c r="L25" s="82">
        <f>_xll.GetData("Period.CYTDDays","Code="&amp;$I$15)</f>
        <v>244</v>
      </c>
      <c r="M25" s="82">
        <f>_xll.GetData("Period.LYTDDays","Code="&amp;$I$15)</f>
        <v>243</v>
      </c>
      <c r="N25" s="82">
        <f>_xll.GetData("Period.NYTDDays","Code="&amp;$I$15)</f>
        <v>243</v>
      </c>
      <c r="O25" s="82">
        <f>_xll.GetData("Period.CYTDDays","Code=12")</f>
        <v>366</v>
      </c>
      <c r="P25" s="82">
        <f>_xll.GetData("Period.LYTDDays","Code=12")</f>
        <v>365</v>
      </c>
      <c r="Q25" s="82">
        <f>_xll.GetData("Period.NYTDDays","Code=12")</f>
        <v>365</v>
      </c>
    </row>
    <row r="26" spans="7:17">
      <c r="H26" s="196" t="s">
        <v>524</v>
      </c>
      <c r="I26" s="82">
        <f>_xll.GetData("Period.CYWKDays","Code="&amp;$I$15)</f>
        <v>20</v>
      </c>
      <c r="J26" s="82">
        <f>_xll.GetData("Period.LYWKDays","Code="&amp;$I$15)</f>
        <v>20</v>
      </c>
      <c r="K26" s="82">
        <f>_xll.GetData("Period.NYWKDays", "Code="&amp;$I$15)</f>
        <v>20</v>
      </c>
      <c r="L26" s="82">
        <f>_xll.GetData("Period.CYTDWKDays","Code="&amp;$I$15)</f>
        <v>179</v>
      </c>
      <c r="M26" s="82">
        <f>_xll.GetData("Period.LYTDWKDays","Code="&amp;$I$15)</f>
        <v>179</v>
      </c>
      <c r="N26" s="82">
        <f>_xll.GetData("Period.NYTDWKDays","Code="&amp;$I$15)</f>
        <v>179</v>
      </c>
      <c r="O26" s="82">
        <f>_xll.GetData("Period.CYTDWKDays","Code=12")</f>
        <v>269</v>
      </c>
      <c r="P26" s="82">
        <f>_xll.GetData("Period.LYTDWKDays","Code=12")</f>
        <v>269</v>
      </c>
      <c r="Q26" s="82">
        <f>_xll.GetData("Period.NYTDWKDays","Code=12")</f>
        <v>269</v>
      </c>
    </row>
    <row r="28" spans="7:17">
      <c r="G28" s="94" t="s">
        <v>199</v>
      </c>
      <c r="H28" s="92"/>
    </row>
    <row r="30" spans="7:17">
      <c r="H30" s="196" t="s">
        <v>525</v>
      </c>
      <c r="I30" s="51" t="b">
        <f>_xll.IsRunningMultipass()</f>
        <v>0</v>
      </c>
    </row>
    <row r="31" spans="7:17">
      <c r="H31" s="74" t="s">
        <v>556</v>
      </c>
      <c r="I31" s="51" t="str">
        <f>_xll.GetCurrentValue("Table")</f>
        <v/>
      </c>
    </row>
    <row r="32" spans="7:17">
      <c r="H32" s="74" t="s">
        <v>605</v>
      </c>
      <c r="I32" s="51" t="str">
        <f>_xll.GetCurrentValue("Column")</f>
        <v/>
      </c>
    </row>
    <row r="33" spans="7:12">
      <c r="H33" s="74" t="s">
        <v>243</v>
      </c>
      <c r="I33" s="51" t="str">
        <f>_xll.GetCurrentValue("Filter")</f>
        <v/>
      </c>
    </row>
    <row r="34" spans="7:12">
      <c r="H34" s="74" t="s">
        <v>532</v>
      </c>
      <c r="I34" s="51" t="str">
        <f>_xll.GetCurrentValue()</f>
        <v/>
      </c>
    </row>
    <row r="35" spans="7:12" ht="16.8">
      <c r="H35" s="74" t="s">
        <v>431</v>
      </c>
      <c r="I35" s="199" t="str">
        <f>_xll.GetCurrentValue("QuickFilter")</f>
        <v>None</v>
      </c>
    </row>
    <row r="36" spans="7:12" ht="16.8">
      <c r="H36" s="74" t="s">
        <v>606</v>
      </c>
      <c r="I36" s="199" t="str">
        <f>IF(I30,I33,IF(I35="None","",I35))</f>
        <v/>
      </c>
    </row>
    <row r="37" spans="7:12" ht="16.8">
      <c r="G37" s="74" t="s">
        <v>474</v>
      </c>
      <c r="H37" s="74" t="str">
        <f>_xll.GetData("SuiteVariables.Description","Suite_INFO = '"&amp;G37&amp;"'")</f>
        <v>Budgeting File Processing Repository Output Folder</v>
      </c>
      <c r="I37" s="199" t="str">
        <f>_xll.GetData("SuiteVariables.Parameter", "Suite_INFO = '"&amp;$G37&amp;"'")</f>
        <v>\Axiom\Reports Library\Management Reporting Utilities\Report Distribution\SourceFiles</v>
      </c>
    </row>
    <row r="38" spans="7:12" ht="16.8">
      <c r="G38" s="74" t="s">
        <v>641</v>
      </c>
      <c r="H38" s="74" t="str">
        <f>_xll.GetData("SuiteVariables.Description","Suite_INFO = '"&amp;G38&amp;"'")</f>
        <v>Budgeting File Processing Local Output Folder</v>
      </c>
      <c r="I38" s="199" t="str">
        <f>_xll.GetData("SuiteVariables.Parameter", "Suite_INFO = '"&amp;$G38&amp;"'")</f>
        <v>C:\Temp</v>
      </c>
    </row>
    <row r="39" spans="7:12" ht="16.8">
      <c r="H39" s="74"/>
      <c r="I39" s="162"/>
    </row>
    <row r="40" spans="7:12">
      <c r="H40" s="74"/>
    </row>
    <row r="41" spans="7:12">
      <c r="G41" s="94" t="s">
        <v>432</v>
      </c>
      <c r="H41" s="92"/>
      <c r="I41" s="116" t="s">
        <v>68</v>
      </c>
      <c r="J41" s="116" t="s">
        <v>557</v>
      </c>
      <c r="K41" s="116" t="s">
        <v>200</v>
      </c>
      <c r="L41" s="116" t="s">
        <v>109</v>
      </c>
    </row>
    <row r="42" spans="7:12">
      <c r="H42" s="196" t="s">
        <v>151</v>
      </c>
      <c r="I42" s="51" t="str">
        <f t="shared" ref="I42:J42" si="0">"ACT"&amp;I$16</f>
        <v>ACT2020</v>
      </c>
      <c r="J42" s="51" t="str">
        <f t="shared" si="0"/>
        <v>ACT2019</v>
      </c>
      <c r="L42" s="51" t="str">
        <f>"ACT"&amp;L$16</f>
        <v>ACT2018</v>
      </c>
    </row>
    <row r="43" spans="7:12">
      <c r="H43" s="196" t="s">
        <v>389</v>
      </c>
      <c r="I43" s="51" t="str">
        <f t="shared" ref="I43:J43" si="1">"GLTRANSACTIONS_"&amp;I$16</f>
        <v>GLTRANSACTIONS_2020</v>
      </c>
      <c r="J43" s="51" t="str">
        <f t="shared" si="1"/>
        <v>GLTRANSACTIONS_2019</v>
      </c>
      <c r="L43" s="51" t="str">
        <f>"GLTRANSACTIONS_"&amp;L$16</f>
        <v>GLTRANSACTIONS_2018</v>
      </c>
    </row>
    <row r="44" spans="7:12">
      <c r="H44" s="196" t="s">
        <v>507</v>
      </c>
      <c r="I44" s="51" t="str">
        <f t="shared" ref="I44:K44" si="2">"BUD"&amp;I$16</f>
        <v>BUD2020</v>
      </c>
      <c r="J44" s="51" t="str">
        <f t="shared" si="2"/>
        <v>BUD2019</v>
      </c>
      <c r="K44" s="51" t="str">
        <f t="shared" si="2"/>
        <v>BUD2021</v>
      </c>
    </row>
    <row r="45" spans="7:12">
      <c r="H45" s="196" t="s">
        <v>152</v>
      </c>
      <c r="I45" s="51" t="str">
        <f t="shared" ref="I45:K45" si="3">"BUD"&amp;I$16&amp;"_DETAIL"</f>
        <v>BUD2020_DETAIL</v>
      </c>
      <c r="J45" s="51" t="str">
        <f t="shared" si="3"/>
        <v>BUD2019_DETAIL</v>
      </c>
      <c r="K45" s="51" t="str">
        <f t="shared" si="3"/>
        <v>BUD2021_DETAIL</v>
      </c>
    </row>
    <row r="46" spans="7:12">
      <c r="H46" s="196" t="s">
        <v>642</v>
      </c>
      <c r="I46" s="51" t="str">
        <f>"CYF"&amp;I$16</f>
        <v>CYF2020</v>
      </c>
      <c r="J46" s="147"/>
      <c r="K46" s="147"/>
    </row>
    <row r="47" spans="7:12">
      <c r="H47" s="196" t="s">
        <v>867</v>
      </c>
      <c r="I47" s="74" t="str">
        <f>"CYFDriver_"&amp;I16</f>
        <v>CYFDriver_2020</v>
      </c>
    </row>
    <row r="48" spans="7:12">
      <c r="G48" s="94" t="s">
        <v>153</v>
      </c>
      <c r="H48" s="92"/>
    </row>
    <row r="49" spans="7:12">
      <c r="H49" s="196" t="s">
        <v>110</v>
      </c>
      <c r="I49" s="51" t="str">
        <f t="shared" ref="I49:J49" si="4">"ACT_PAY12_"&amp;I$16</f>
        <v>ACT_PAY12_2020</v>
      </c>
      <c r="J49" s="51" t="str">
        <f t="shared" si="4"/>
        <v>ACT_PAY12_2019</v>
      </c>
      <c r="L49" s="51" t="str">
        <f>"ACT_PAY12_"&amp;L$16</f>
        <v>ACT_PAY12_2018</v>
      </c>
    </row>
    <row r="50" spans="7:12">
      <c r="H50" s="196" t="s">
        <v>154</v>
      </c>
      <c r="I50" s="51" t="str">
        <f t="shared" ref="I50:J50" si="5">"ACT_PAY27_"&amp;I$16</f>
        <v>ACT_PAY27_2020</v>
      </c>
      <c r="J50" s="51" t="str">
        <f t="shared" si="5"/>
        <v>ACT_PAY27_2019</v>
      </c>
      <c r="L50" s="51" t="str">
        <f>"ACT_PAY27_"&amp;L$16</f>
        <v>ACT_PAY27_2018</v>
      </c>
    </row>
    <row r="51" spans="7:12">
      <c r="H51" s="196" t="s">
        <v>433</v>
      </c>
      <c r="I51" s="51" t="str">
        <f t="shared" ref="I51:K51" si="6">"BUD_PAY12_"&amp;I$16</f>
        <v>BUD_PAY12_2020</v>
      </c>
      <c r="J51" s="51" t="str">
        <f t="shared" si="6"/>
        <v>BUD_PAY12_2019</v>
      </c>
      <c r="K51" s="51" t="str">
        <f t="shared" si="6"/>
        <v>BUD_PAY12_2021</v>
      </c>
    </row>
    <row r="52" spans="7:12">
      <c r="H52" s="196" t="s">
        <v>475</v>
      </c>
      <c r="I52" s="51" t="str">
        <f t="shared" ref="I52:K52" si="7">"BUD_PAY27_"&amp;I$16</f>
        <v>BUD_PAY27_2020</v>
      </c>
      <c r="J52" s="51" t="str">
        <f t="shared" si="7"/>
        <v>BUD_PAY27_2019</v>
      </c>
      <c r="K52" s="51" t="str">
        <f t="shared" si="7"/>
        <v>BUD_PAY27_2021</v>
      </c>
    </row>
    <row r="54" spans="7:12">
      <c r="G54" s="94" t="s">
        <v>362</v>
      </c>
      <c r="H54" s="92"/>
    </row>
    <row r="55" spans="7:12">
      <c r="H55" s="196" t="s">
        <v>151</v>
      </c>
      <c r="I55" s="51" t="str">
        <f t="shared" ref="I55:J55" si="8">"ACT_PROV_"&amp;I$16</f>
        <v>ACT_PROV_2020</v>
      </c>
      <c r="J55" s="51" t="str">
        <f t="shared" si="8"/>
        <v>ACT_PROV_2019</v>
      </c>
      <c r="L55" s="51" t="str">
        <f>"ACT_PROV_"&amp;L$16</f>
        <v>ACT_PROV_2018</v>
      </c>
    </row>
    <row r="56" spans="7:12">
      <c r="H56" s="196" t="s">
        <v>507</v>
      </c>
      <c r="I56" s="51" t="str">
        <f t="shared" ref="I56:K56" si="9">"BUD_PROV_"&amp;I$16</f>
        <v>BUD_PROV_2020</v>
      </c>
      <c r="J56" s="51" t="str">
        <f t="shared" si="9"/>
        <v>BUD_PROV_2019</v>
      </c>
      <c r="K56" s="51" t="str">
        <f t="shared" si="9"/>
        <v>BUD_PROV_2021</v>
      </c>
    </row>
    <row r="58" spans="7:12">
      <c r="G58" s="94" t="s">
        <v>476</v>
      </c>
      <c r="H58" s="92"/>
    </row>
    <row r="59" spans="7:12">
      <c r="H59" s="196" t="s">
        <v>151</v>
      </c>
      <c r="I59" s="51" t="str">
        <f t="shared" ref="I59:J59" si="10">"ACT_RU_"&amp;I$16</f>
        <v>ACT_RU_2020</v>
      </c>
      <c r="J59" s="51" t="str">
        <f t="shared" si="10"/>
        <v>ACT_RU_2019</v>
      </c>
      <c r="L59" s="51"/>
    </row>
    <row r="60" spans="7:12">
      <c r="H60" s="196" t="s">
        <v>507</v>
      </c>
      <c r="I60" s="51" t="str">
        <f>"BUD_RU_"&amp;I$16</f>
        <v>BUD_RU_2020</v>
      </c>
      <c r="J60" s="51"/>
      <c r="K60" s="51" t="str">
        <f>"BUD_RU_"&amp;K$16</f>
        <v>BUD_RU_2021</v>
      </c>
    </row>
    <row r="62" spans="7:12">
      <c r="G62" s="94" t="s">
        <v>434</v>
      </c>
      <c r="H62" s="92"/>
    </row>
    <row r="63" spans="7:12">
      <c r="H63" s="196" t="s">
        <v>435</v>
      </c>
      <c r="I63" s="51" t="str">
        <f>"FLX"&amp;I$16</f>
        <v>FLX2020</v>
      </c>
      <c r="J63" s="51"/>
      <c r="L63" s="51"/>
    </row>
    <row r="68" spans="7:24">
      <c r="G68" s="94" t="s">
        <v>651</v>
      </c>
      <c r="H68" s="92"/>
    </row>
    <row r="69" spans="7:24">
      <c r="I69" s="278" t="str">
        <f>Control_Sheet!L1&amp;"_"&amp;IF(I30,I34,O74)</f>
        <v>Mthly_Fcst_Utility_</v>
      </c>
    </row>
    <row r="70" spans="7:24" ht="16.8">
      <c r="H70"/>
      <c r="I70"/>
      <c r="J70"/>
      <c r="K70"/>
      <c r="L70"/>
      <c r="M70"/>
      <c r="N70"/>
      <c r="O70"/>
      <c r="P70"/>
      <c r="Q70"/>
      <c r="R70"/>
      <c r="S70"/>
      <c r="T70"/>
      <c r="U70"/>
      <c r="V70"/>
      <c r="W70"/>
      <c r="X70"/>
    </row>
    <row r="71" spans="7:24" ht="16.8">
      <c r="H71"/>
      <c r="I71"/>
      <c r="J71" s="63"/>
      <c r="K71" s="69"/>
      <c r="L71" s="69"/>
      <c r="M71" s="69"/>
      <c r="N71" s="69"/>
      <c r="O71" s="69"/>
      <c r="P71" s="69"/>
      <c r="Q71" s="69"/>
      <c r="R71" s="69"/>
      <c r="S71" s="69"/>
      <c r="T71" s="69"/>
      <c r="U71" s="69"/>
      <c r="V71" s="69"/>
      <c r="W71" s="69"/>
      <c r="X71" s="69"/>
    </row>
    <row r="72" spans="7:24" ht="16.8">
      <c r="H72"/>
      <c r="I72"/>
      <c r="J72" s="193"/>
      <c r="K72" s="66" t="s">
        <v>244</v>
      </c>
      <c r="L72" s="66" t="s">
        <v>611</v>
      </c>
      <c r="M72" s="66" t="s">
        <v>529</v>
      </c>
      <c r="N72" s="66" t="s">
        <v>159</v>
      </c>
      <c r="O72" s="66" t="s">
        <v>363</v>
      </c>
      <c r="P72" s="66" t="s">
        <v>203</v>
      </c>
      <c r="Q72" s="66" t="s">
        <v>111</v>
      </c>
      <c r="R72" s="66" t="s">
        <v>530</v>
      </c>
      <c r="S72" s="66" t="s">
        <v>645</v>
      </c>
      <c r="T72" s="66" t="s">
        <v>646</v>
      </c>
      <c r="U72" s="66" t="s">
        <v>559</v>
      </c>
      <c r="V72" s="66" t="s">
        <v>560</v>
      </c>
      <c r="W72" s="66" t="s">
        <v>612</v>
      </c>
      <c r="X72" s="66" t="s">
        <v>323</v>
      </c>
    </row>
    <row r="73" spans="7:24" ht="16.8">
      <c r="H73" s="211" t="s">
        <v>204</v>
      </c>
      <c r="I73" s="65" t="str">
        <f>IF($O73=0,"","Dept.Entity="&amp;$O73)</f>
        <v/>
      </c>
      <c r="J73" s="193"/>
      <c r="K73" s="65" t="s">
        <v>324</v>
      </c>
      <c r="L73" s="75" t="s">
        <v>282</v>
      </c>
      <c r="M73" s="75" t="s">
        <v>71</v>
      </c>
      <c r="N73" s="178" t="b">
        <v>1</v>
      </c>
      <c r="O73" s="177"/>
      <c r="P73" s="75" t="b">
        <v>1</v>
      </c>
      <c r="Q73" s="75" t="s">
        <v>647</v>
      </c>
      <c r="R73" s="75"/>
      <c r="S73" s="75"/>
      <c r="T73" s="75"/>
      <c r="U73" s="75" t="s">
        <v>160</v>
      </c>
      <c r="V73" s="75" t="s">
        <v>418</v>
      </c>
      <c r="W73" s="75"/>
      <c r="X73" s="75" t="s">
        <v>392</v>
      </c>
    </row>
    <row r="74" spans="7:24" ht="16.8">
      <c r="H74" s="211" t="s">
        <v>204</v>
      </c>
      <c r="I74" s="171" t="str">
        <f>IF(OR($O$74="",Mthly_Fcst_Utility!$I$34),"",U74&amp;" = "&amp;$O$74)</f>
        <v/>
      </c>
      <c r="J74" s="193"/>
      <c r="K74" s="65" t="s">
        <v>324</v>
      </c>
      <c r="L74" s="65" t="s">
        <v>884</v>
      </c>
      <c r="M74" s="65" t="s">
        <v>71</v>
      </c>
      <c r="N74" s="178" t="b">
        <v>1</v>
      </c>
      <c r="O74" s="177"/>
      <c r="P74" s="75" t="b">
        <v>1</v>
      </c>
      <c r="Q74" s="65" t="b">
        <v>1</v>
      </c>
      <c r="R74" s="65" t="str">
        <f>$L$73</f>
        <v>Select Entity:</v>
      </c>
      <c r="S74" s="65"/>
      <c r="T74" s="65"/>
      <c r="U74" s="65" t="s">
        <v>885</v>
      </c>
      <c r="V74" s="65"/>
      <c r="W74" s="74" t="str">
        <f>$I$73</f>
        <v/>
      </c>
      <c r="X74" s="65" t="s">
        <v>392</v>
      </c>
    </row>
    <row r="75" spans="7:24" ht="16.8">
      <c r="H75"/>
      <c r="I75"/>
      <c r="J75" s="193"/>
      <c r="K75" s="65"/>
      <c r="L75" s="65"/>
      <c r="M75" s="65"/>
      <c r="N75" s="178"/>
      <c r="O75" s="177"/>
      <c r="P75" s="75"/>
      <c r="Q75" s="65"/>
      <c r="R75" s="65"/>
      <c r="S75" s="65"/>
      <c r="T75" s="65"/>
      <c r="U75" s="65"/>
      <c r="V75" s="65"/>
      <c r="W75" s="65"/>
      <c r="X75" s="65"/>
    </row>
    <row r="76" spans="7:24" ht="16.8">
      <c r="H76"/>
      <c r="I76"/>
      <c r="J76" s="193"/>
      <c r="K76" s="65"/>
      <c r="L76" s="65"/>
      <c r="M76" s="65"/>
      <c r="N76" s="65"/>
      <c r="O76" s="177"/>
      <c r="P76" s="65"/>
      <c r="Q76" s="65"/>
      <c r="R76" s="65"/>
      <c r="S76" s="65"/>
      <c r="T76" s="65"/>
      <c r="U76" s="65"/>
      <c r="V76" s="65"/>
      <c r="W76" s="65"/>
      <c r="X76" s="65"/>
    </row>
    <row r="77" spans="7:24" ht="16.8">
      <c r="H77"/>
      <c r="I77"/>
      <c r="J77" s="193"/>
      <c r="K77" s="65"/>
      <c r="L77" s="65"/>
      <c r="M77" s="65"/>
      <c r="N77" s="65"/>
      <c r="O77" s="177"/>
      <c r="P77" s="65"/>
      <c r="Q77" s="65"/>
      <c r="R77" s="65"/>
      <c r="S77" s="65"/>
      <c r="T77" s="65"/>
      <c r="U77" s="65"/>
      <c r="V77" s="65"/>
      <c r="W77" s="65"/>
      <c r="X77" s="65"/>
    </row>
    <row r="78" spans="7:24" ht="16.8">
      <c r="H78"/>
      <c r="I78"/>
      <c r="J78" s="63"/>
      <c r="K78" s="63"/>
      <c r="L78" s="63"/>
      <c r="M78" s="63"/>
      <c r="N78" s="63"/>
      <c r="O78" s="63"/>
      <c r="P78" s="63"/>
      <c r="Q78" s="63"/>
      <c r="R78" s="63"/>
      <c r="S78" s="63"/>
      <c r="T78" s="63"/>
      <c r="U78" s="63"/>
      <c r="V78" s="63"/>
      <c r="W78" s="63"/>
      <c r="X78" s="63"/>
    </row>
  </sheetData>
  <sheetProtection formatCells="0" autoFilter="0"/>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56"/>
  <sheetViews>
    <sheetView showGridLines="0" workbookViewId="0"/>
  </sheetViews>
  <sheetFormatPr defaultColWidth="14.59765625" defaultRowHeight="16.8"/>
  <cols>
    <col min="1" max="1" width="3.19921875" style="48" customWidth="1"/>
    <col min="2" max="2" width="13" style="48" customWidth="1"/>
    <col min="3" max="4" width="40.69921875" style="48" customWidth="1"/>
    <col min="5" max="14" width="14.59765625" style="48"/>
  </cols>
  <sheetData>
    <row r="2" spans="1:14" ht="54.75" customHeight="1">
      <c r="B2" s="30" t="s">
        <v>319</v>
      </c>
      <c r="C2" s="30"/>
      <c r="D2" s="30"/>
      <c r="E2" s="30"/>
      <c r="F2" s="30"/>
      <c r="G2" s="30"/>
      <c r="H2" s="30"/>
      <c r="I2" s="30"/>
      <c r="J2" s="30"/>
      <c r="K2" s="30"/>
      <c r="L2" s="30"/>
      <c r="M2" s="30"/>
      <c r="N2" s="30"/>
    </row>
    <row r="3" spans="1:14">
      <c r="B3" s="123"/>
    </row>
    <row r="4" spans="1:14" ht="19.2">
      <c r="B4" s="19" t="s">
        <v>338</v>
      </c>
      <c r="C4" s="19"/>
      <c r="D4" s="19"/>
      <c r="E4" s="19"/>
    </row>
    <row r="5" spans="1:14">
      <c r="B5" s="91" t="s">
        <v>12</v>
      </c>
      <c r="C5" s="91"/>
      <c r="D5" s="91"/>
      <c r="E5" s="91"/>
    </row>
    <row r="6" spans="1:14">
      <c r="B6" s="158"/>
    </row>
    <row r="7" spans="1:14">
      <c r="B7" s="110"/>
      <c r="C7" s="109"/>
      <c r="D7" s="109"/>
      <c r="E7" s="109"/>
      <c r="F7" s="109"/>
      <c r="G7" s="109"/>
      <c r="H7" s="109"/>
      <c r="I7" s="109"/>
      <c r="J7" s="109"/>
      <c r="K7" s="109"/>
      <c r="L7" s="109"/>
      <c r="M7" s="109"/>
      <c r="N7" s="109"/>
    </row>
    <row r="8" spans="1:14" ht="19.2">
      <c r="B8" s="19" t="s">
        <v>264</v>
      </c>
      <c r="C8" s="19"/>
      <c r="D8" s="19"/>
      <c r="E8" s="19"/>
    </row>
    <row r="9" spans="1:14">
      <c r="B9" s="91" t="s">
        <v>417</v>
      </c>
      <c r="C9" s="91"/>
      <c r="D9" s="91"/>
    </row>
    <row r="10" spans="1:14">
      <c r="A10" s="109"/>
      <c r="B10" s="91" t="s">
        <v>339</v>
      </c>
      <c r="C10" s="91"/>
      <c r="D10" s="91"/>
      <c r="E10" s="109"/>
      <c r="F10" s="109"/>
      <c r="G10" s="109"/>
      <c r="H10" s="109"/>
      <c r="I10" s="109"/>
      <c r="J10" s="109"/>
      <c r="K10" s="109"/>
      <c r="L10" s="109"/>
      <c r="M10" s="109"/>
      <c r="N10" s="109"/>
    </row>
    <row r="11" spans="1:14">
      <c r="A11" s="107"/>
      <c r="B11" s="91" t="s">
        <v>246</v>
      </c>
      <c r="C11" s="91"/>
      <c r="D11" s="91"/>
    </row>
    <row r="12" spans="1:14">
      <c r="A12" s="112"/>
      <c r="B12" s="91" t="s">
        <v>652</v>
      </c>
      <c r="C12" s="91"/>
      <c r="D12" s="91"/>
    </row>
    <row r="13" spans="1:14">
      <c r="A13" s="112"/>
      <c r="B13" s="91"/>
      <c r="C13" s="91"/>
      <c r="D13" s="91"/>
    </row>
    <row r="14" spans="1:14" ht="59.25" customHeight="1">
      <c r="A14" s="112"/>
      <c r="B14" s="200"/>
      <c r="C14" s="95" t="s">
        <v>320</v>
      </c>
      <c r="D14" s="95"/>
    </row>
    <row r="15" spans="1:14">
      <c r="A15" s="109"/>
      <c r="B15" s="110"/>
      <c r="C15" s="110"/>
      <c r="D15" s="110"/>
      <c r="E15" s="109"/>
      <c r="F15" s="109"/>
      <c r="G15" s="109"/>
      <c r="H15" s="109"/>
      <c r="I15" s="109"/>
      <c r="J15" s="109"/>
      <c r="K15" s="109"/>
      <c r="L15" s="109"/>
      <c r="M15" s="109"/>
      <c r="N15" s="109"/>
    </row>
    <row r="16" spans="1:14">
      <c r="B16" s="110"/>
      <c r="C16" s="109"/>
    </row>
    <row r="17" spans="1:3">
      <c r="A17" s="112"/>
      <c r="B17" s="110"/>
      <c r="C17" s="109"/>
    </row>
    <row r="18" spans="1:3">
      <c r="A18" s="112"/>
      <c r="B18" s="110"/>
      <c r="C18" s="109"/>
    </row>
    <row r="19" spans="1:3">
      <c r="A19" s="112"/>
      <c r="B19" s="110"/>
      <c r="C19" s="109"/>
    </row>
    <row r="20" spans="1:3">
      <c r="A20" s="112"/>
      <c r="B20" s="110"/>
      <c r="C20" s="109"/>
    </row>
    <row r="21" spans="1:3">
      <c r="A21" s="112"/>
      <c r="B21" s="110"/>
      <c r="C21" s="109"/>
    </row>
    <row r="22" spans="1:3">
      <c r="B22" s="110"/>
      <c r="C22" s="109"/>
    </row>
    <row r="23" spans="1:3">
      <c r="A23" s="107"/>
      <c r="B23" s="110"/>
      <c r="C23" s="109"/>
    </row>
    <row r="24" spans="1:3">
      <c r="A24" s="140"/>
      <c r="B24" s="110"/>
      <c r="C24" s="109"/>
    </row>
    <row r="25" spans="1:3">
      <c r="A25" s="112"/>
      <c r="B25" s="110"/>
      <c r="C25" s="109"/>
    </row>
    <row r="26" spans="1:3">
      <c r="A26" s="140"/>
      <c r="B26" s="110"/>
      <c r="C26" s="109"/>
    </row>
    <row r="27" spans="1:3">
      <c r="A27" s="140"/>
      <c r="B27" s="110"/>
      <c r="C27" s="109"/>
    </row>
    <row r="28" spans="1:3">
      <c r="A28" s="140"/>
      <c r="B28" s="110"/>
      <c r="C28" s="109"/>
    </row>
    <row r="29" spans="1:3">
      <c r="A29" s="140"/>
      <c r="B29" s="110"/>
      <c r="C29" s="109"/>
    </row>
    <row r="30" spans="1:3">
      <c r="A30" s="140"/>
      <c r="B30" s="110"/>
      <c r="C30" s="109"/>
    </row>
    <row r="31" spans="1:3">
      <c r="A31" s="140"/>
      <c r="B31" s="110"/>
      <c r="C31" s="109"/>
    </row>
    <row r="32" spans="1:3">
      <c r="A32" s="140"/>
      <c r="B32" s="110"/>
      <c r="C32" s="109"/>
    </row>
    <row r="33" spans="1:4">
      <c r="A33" s="140"/>
      <c r="B33" s="110"/>
      <c r="C33" s="109"/>
    </row>
    <row r="34" spans="1:4">
      <c r="A34" s="140"/>
      <c r="B34" s="110"/>
      <c r="C34" s="109"/>
    </row>
    <row r="35" spans="1:4">
      <c r="A35" s="140"/>
      <c r="B35" s="110"/>
      <c r="C35" s="109"/>
    </row>
    <row r="36" spans="1:4">
      <c r="A36" s="140"/>
      <c r="B36" s="110"/>
      <c r="C36" s="109"/>
    </row>
    <row r="37" spans="1:4">
      <c r="A37" s="112"/>
      <c r="B37" s="110"/>
      <c r="C37" s="109"/>
    </row>
    <row r="38" spans="1:4">
      <c r="B38" s="110"/>
      <c r="C38" s="109"/>
    </row>
    <row r="39" spans="1:4">
      <c r="A39" s="107"/>
      <c r="B39" s="110"/>
      <c r="C39" s="109"/>
    </row>
    <row r="40" spans="1:4">
      <c r="A40" s="107"/>
      <c r="B40" s="110"/>
      <c r="C40" s="109"/>
    </row>
    <row r="41" spans="1:4">
      <c r="A41" s="107"/>
      <c r="B41" s="110"/>
      <c r="C41" s="109"/>
    </row>
    <row r="42" spans="1:4">
      <c r="A42" s="107"/>
      <c r="B42" s="110"/>
      <c r="C42" s="109"/>
    </row>
    <row r="43" spans="1:4">
      <c r="B43" s="110"/>
      <c r="C43" s="109"/>
    </row>
    <row r="44" spans="1:4">
      <c r="A44" s="107"/>
      <c r="B44" s="110"/>
      <c r="C44" s="109"/>
    </row>
    <row r="45" spans="1:4">
      <c r="A45" s="107"/>
      <c r="B45" s="110"/>
      <c r="C45" s="109"/>
      <c r="D45" s="130"/>
    </row>
    <row r="46" spans="1:4">
      <c r="A46" s="107"/>
      <c r="B46" s="110"/>
      <c r="C46" s="109"/>
      <c r="D46" s="130"/>
    </row>
    <row r="47" spans="1:4">
      <c r="A47" s="107"/>
      <c r="B47" s="110"/>
      <c r="C47" s="109"/>
      <c r="D47" s="130"/>
    </row>
    <row r="48" spans="1:4">
      <c r="A48" s="107"/>
      <c r="B48" s="123"/>
      <c r="C48" s="130"/>
      <c r="D48" s="130"/>
    </row>
    <row r="49" spans="1:4">
      <c r="A49" s="107"/>
      <c r="B49" s="123"/>
      <c r="C49" s="130"/>
      <c r="D49" s="130"/>
    </row>
    <row r="50" spans="1:4">
      <c r="A50" s="107"/>
      <c r="B50" s="152"/>
      <c r="C50" s="130"/>
      <c r="D50" s="130"/>
    </row>
    <row r="51" spans="1:4">
      <c r="A51" s="107"/>
      <c r="B51" s="152"/>
    </row>
    <row r="52" spans="1:4">
      <c r="B52" s="152"/>
    </row>
    <row r="53" spans="1:4">
      <c r="B53" s="152"/>
    </row>
    <row r="54" spans="1:4">
      <c r="B54" s="152"/>
    </row>
    <row r="55" spans="1:4">
      <c r="B55" s="152"/>
    </row>
    <row r="56" spans="1:4">
      <c r="B56" s="123"/>
    </row>
  </sheetData>
  <sheetProtection formatCells="0" autoFilter="0"/>
  <printOptions gridLinesSet="0"/>
  <pageMargins left="0.75" right="0.75" top="1" bottom="1" header="0.5" footer="0.5"/>
  <pageSetup orientation="portrait"/>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9"/>
  <sheetViews>
    <sheetView showGridLines="0" workbookViewId="0">
      <pane xSplit="3" ySplit="4" topLeftCell="D5" activePane="bottomRight" state="frozen"/>
      <selection pane="topRight" activeCell="D1" sqref="D1"/>
      <selection pane="bottomLeft" activeCell="A5" sqref="A5"/>
      <selection pane="bottomRight" activeCell="F5" sqref="F5"/>
    </sheetView>
  </sheetViews>
  <sheetFormatPr defaultRowHeight="15"/>
  <cols>
    <col min="1" max="1" width="0.8984375" style="28" customWidth="1"/>
    <col min="2" max="2" width="18.8984375" style="28" customWidth="1"/>
    <col min="3" max="3" width="23.69921875" style="28" customWidth="1"/>
    <col min="4" max="4" width="9" style="28" customWidth="1"/>
    <col min="5" max="5" width="9.59765625" style="28" customWidth="1"/>
    <col min="6" max="6" width="29.3984375" style="28" customWidth="1"/>
    <col min="7" max="7" width="1.59765625" style="28" customWidth="1"/>
    <col min="8" max="8" width="50.3984375" style="28" customWidth="1"/>
    <col min="9" max="10" width="12.8984375" style="28" customWidth="1"/>
    <col min="11" max="11" width="19.5" style="28" customWidth="1"/>
    <col min="12" max="12" width="27.69921875" style="28" customWidth="1"/>
    <col min="13" max="13" width="10.59765625" style="28" customWidth="1"/>
    <col min="14" max="26" width="9" style="28" customWidth="1"/>
    <col min="27" max="27" width="9" style="28"/>
    <col min="28" max="256" width="8" style="28"/>
    <col min="257" max="257" width="4.09765625" style="28" customWidth="1"/>
    <col min="258" max="260" width="8" style="28"/>
    <col min="261" max="261" width="18.8984375" style="28" customWidth="1"/>
    <col min="262" max="262" width="11.09765625" style="28" customWidth="1"/>
    <col min="263" max="263" width="18.09765625" style="28" customWidth="1"/>
    <col min="264" max="266" width="11.3984375" style="28" customWidth="1"/>
    <col min="267" max="267" width="17.09765625" style="28" customWidth="1"/>
    <col min="268" max="268" width="24.3984375" style="28" customWidth="1"/>
    <col min="269" max="269" width="9.3984375" style="28" bestFit="1" customWidth="1"/>
    <col min="270" max="512" width="8" style="28"/>
    <col min="513" max="513" width="4.09765625" style="28" customWidth="1"/>
    <col min="514" max="516" width="8" style="28"/>
    <col min="517" max="517" width="18.8984375" style="28" customWidth="1"/>
    <col min="518" max="518" width="11.09765625" style="28" customWidth="1"/>
    <col min="519" max="519" width="18.09765625" style="28" customWidth="1"/>
    <col min="520" max="522" width="11.3984375" style="28" customWidth="1"/>
    <col min="523" max="523" width="17.09765625" style="28" customWidth="1"/>
    <col min="524" max="524" width="24.3984375" style="28" customWidth="1"/>
    <col min="525" max="525" width="9.3984375" style="28" bestFit="1" customWidth="1"/>
    <col min="526" max="768" width="8" style="28"/>
    <col min="769" max="769" width="4.09765625" style="28" customWidth="1"/>
    <col min="770" max="772" width="8" style="28"/>
    <col min="773" max="773" width="18.8984375" style="28" customWidth="1"/>
    <col min="774" max="774" width="11.09765625" style="28" customWidth="1"/>
    <col min="775" max="775" width="18.09765625" style="28" customWidth="1"/>
    <col min="776" max="778" width="11.3984375" style="28" customWidth="1"/>
    <col min="779" max="779" width="17.09765625" style="28" customWidth="1"/>
    <col min="780" max="780" width="24.3984375" style="28" customWidth="1"/>
    <col min="781" max="781" width="9.3984375" style="28" bestFit="1" customWidth="1"/>
    <col min="782" max="1024" width="9" style="28"/>
    <col min="1025" max="1025" width="4.09765625" style="28" customWidth="1"/>
    <col min="1026" max="1028" width="8" style="28"/>
    <col min="1029" max="1029" width="18.8984375" style="28" customWidth="1"/>
    <col min="1030" max="1030" width="11.09765625" style="28" customWidth="1"/>
    <col min="1031" max="1031" width="18.09765625" style="28" customWidth="1"/>
    <col min="1032" max="1034" width="11.3984375" style="28" customWidth="1"/>
    <col min="1035" max="1035" width="17.09765625" style="28" customWidth="1"/>
    <col min="1036" max="1036" width="24.3984375" style="28" customWidth="1"/>
    <col min="1037" max="1037" width="9.3984375" style="28" bestFit="1" customWidth="1"/>
    <col min="1038" max="1280" width="8" style="28"/>
    <col min="1281" max="1281" width="4.09765625" style="28" customWidth="1"/>
    <col min="1282" max="1284" width="8" style="28"/>
    <col min="1285" max="1285" width="18.8984375" style="28" customWidth="1"/>
    <col min="1286" max="1286" width="11.09765625" style="28" customWidth="1"/>
    <col min="1287" max="1287" width="18.09765625" style="28" customWidth="1"/>
    <col min="1288" max="1290" width="11.3984375" style="28" customWidth="1"/>
    <col min="1291" max="1291" width="17.09765625" style="28" customWidth="1"/>
    <col min="1292" max="1292" width="24.3984375" style="28" customWidth="1"/>
    <col min="1293" max="1293" width="9.3984375" style="28" bestFit="1" customWidth="1"/>
    <col min="1294" max="1536" width="8" style="28"/>
    <col min="1537" max="1537" width="4.09765625" style="28" customWidth="1"/>
    <col min="1538" max="1540" width="8" style="28"/>
    <col min="1541" max="1541" width="18.8984375" style="28" customWidth="1"/>
    <col min="1542" max="1542" width="11.09765625" style="28" customWidth="1"/>
    <col min="1543" max="1543" width="18.09765625" style="28" customWidth="1"/>
    <col min="1544" max="1546" width="11.3984375" style="28" customWidth="1"/>
    <col min="1547" max="1547" width="17.09765625" style="28" customWidth="1"/>
    <col min="1548" max="1548" width="24.3984375" style="28" customWidth="1"/>
    <col min="1549" max="1549" width="9.3984375" style="28" bestFit="1" customWidth="1"/>
    <col min="1550" max="1792" width="8" style="28"/>
    <col min="1793" max="1793" width="4.09765625" style="28" customWidth="1"/>
    <col min="1794" max="1796" width="8" style="28"/>
    <col min="1797" max="1797" width="18.8984375" style="28" customWidth="1"/>
    <col min="1798" max="1798" width="11.09765625" style="28" customWidth="1"/>
    <col min="1799" max="1799" width="18.09765625" style="28" customWidth="1"/>
    <col min="1800" max="1802" width="11.3984375" style="28" customWidth="1"/>
    <col min="1803" max="1803" width="17.09765625" style="28" customWidth="1"/>
    <col min="1804" max="1804" width="24.3984375" style="28" customWidth="1"/>
    <col min="1805" max="1805" width="9.3984375" style="28" bestFit="1" customWidth="1"/>
    <col min="1806" max="2048" width="9" style="28"/>
    <col min="2049" max="2049" width="4.09765625" style="28" customWidth="1"/>
    <col min="2050" max="2052" width="8" style="28"/>
    <col min="2053" max="2053" width="18.8984375" style="28" customWidth="1"/>
    <col min="2054" max="2054" width="11.09765625" style="28" customWidth="1"/>
    <col min="2055" max="2055" width="18.09765625" style="28" customWidth="1"/>
    <col min="2056" max="2058" width="11.3984375" style="28" customWidth="1"/>
    <col min="2059" max="2059" width="17.09765625" style="28" customWidth="1"/>
    <col min="2060" max="2060" width="24.3984375" style="28" customWidth="1"/>
    <col min="2061" max="2061" width="9.3984375" style="28" bestFit="1" customWidth="1"/>
    <col min="2062" max="2304" width="8" style="28"/>
    <col min="2305" max="2305" width="4.09765625" style="28" customWidth="1"/>
    <col min="2306" max="2308" width="8" style="28"/>
    <col min="2309" max="2309" width="18.8984375" style="28" customWidth="1"/>
    <col min="2310" max="2310" width="11.09765625" style="28" customWidth="1"/>
    <col min="2311" max="2311" width="18.09765625" style="28" customWidth="1"/>
    <col min="2312" max="2314" width="11.3984375" style="28" customWidth="1"/>
    <col min="2315" max="2315" width="17.09765625" style="28" customWidth="1"/>
    <col min="2316" max="2316" width="24.3984375" style="28" customWidth="1"/>
    <col min="2317" max="2317" width="9.3984375" style="28" bestFit="1" customWidth="1"/>
    <col min="2318" max="2560" width="8" style="28"/>
    <col min="2561" max="2561" width="4.09765625" style="28" customWidth="1"/>
    <col min="2562" max="2564" width="8" style="28"/>
    <col min="2565" max="2565" width="18.8984375" style="28" customWidth="1"/>
    <col min="2566" max="2566" width="11.09765625" style="28" customWidth="1"/>
    <col min="2567" max="2567" width="18.09765625" style="28" customWidth="1"/>
    <col min="2568" max="2570" width="11.3984375" style="28" customWidth="1"/>
    <col min="2571" max="2571" width="17.09765625" style="28" customWidth="1"/>
    <col min="2572" max="2572" width="24.3984375" style="28" customWidth="1"/>
    <col min="2573" max="2573" width="9.3984375" style="28" bestFit="1" customWidth="1"/>
    <col min="2574" max="2816" width="8" style="28"/>
    <col min="2817" max="2817" width="4.09765625" style="28" customWidth="1"/>
    <col min="2818" max="2820" width="8" style="28"/>
    <col min="2821" max="2821" width="18.8984375" style="28" customWidth="1"/>
    <col min="2822" max="2822" width="11.09765625" style="28" customWidth="1"/>
    <col min="2823" max="2823" width="18.09765625" style="28" customWidth="1"/>
    <col min="2824" max="2826" width="11.3984375" style="28" customWidth="1"/>
    <col min="2827" max="2827" width="17.09765625" style="28" customWidth="1"/>
    <col min="2828" max="2828" width="24.3984375" style="28" customWidth="1"/>
    <col min="2829" max="2829" width="9.3984375" style="28" bestFit="1" customWidth="1"/>
    <col min="2830" max="3072" width="9" style="28"/>
    <col min="3073" max="3073" width="4.09765625" style="28" customWidth="1"/>
    <col min="3074" max="3076" width="8" style="28"/>
    <col min="3077" max="3077" width="18.8984375" style="28" customWidth="1"/>
    <col min="3078" max="3078" width="11.09765625" style="28" customWidth="1"/>
    <col min="3079" max="3079" width="18.09765625" style="28" customWidth="1"/>
    <col min="3080" max="3082" width="11.3984375" style="28" customWidth="1"/>
    <col min="3083" max="3083" width="17.09765625" style="28" customWidth="1"/>
    <col min="3084" max="3084" width="24.3984375" style="28" customWidth="1"/>
    <col min="3085" max="3085" width="9.3984375" style="28" bestFit="1" customWidth="1"/>
    <col min="3086" max="3328" width="8" style="28"/>
    <col min="3329" max="3329" width="4.09765625" style="28" customWidth="1"/>
    <col min="3330" max="3332" width="8" style="28"/>
    <col min="3333" max="3333" width="18.8984375" style="28" customWidth="1"/>
    <col min="3334" max="3334" width="11.09765625" style="28" customWidth="1"/>
    <col min="3335" max="3335" width="18.09765625" style="28" customWidth="1"/>
    <col min="3336" max="3338" width="11.3984375" style="28" customWidth="1"/>
    <col min="3339" max="3339" width="17.09765625" style="28" customWidth="1"/>
    <col min="3340" max="3340" width="24.3984375" style="28" customWidth="1"/>
    <col min="3341" max="3341" width="9.3984375" style="28" bestFit="1" customWidth="1"/>
    <col min="3342" max="3584" width="8" style="28"/>
    <col min="3585" max="3585" width="4.09765625" style="28" customWidth="1"/>
    <col min="3586" max="3588" width="8" style="28"/>
    <col min="3589" max="3589" width="18.8984375" style="28" customWidth="1"/>
    <col min="3590" max="3590" width="11.09765625" style="28" customWidth="1"/>
    <col min="3591" max="3591" width="18.09765625" style="28" customWidth="1"/>
    <col min="3592" max="3594" width="11.3984375" style="28" customWidth="1"/>
    <col min="3595" max="3595" width="17.09765625" style="28" customWidth="1"/>
    <col min="3596" max="3596" width="24.3984375" style="28" customWidth="1"/>
    <col min="3597" max="3597" width="9.3984375" style="28" bestFit="1" customWidth="1"/>
    <col min="3598" max="3840" width="8" style="28"/>
    <col min="3841" max="3841" width="4.09765625" style="28" customWidth="1"/>
    <col min="3842" max="3844" width="8" style="28"/>
    <col min="3845" max="3845" width="18.8984375" style="28" customWidth="1"/>
    <col min="3846" max="3846" width="11.09765625" style="28" customWidth="1"/>
    <col min="3847" max="3847" width="18.09765625" style="28" customWidth="1"/>
    <col min="3848" max="3850" width="11.3984375" style="28" customWidth="1"/>
    <col min="3851" max="3851" width="17.09765625" style="28" customWidth="1"/>
    <col min="3852" max="3852" width="24.3984375" style="28" customWidth="1"/>
    <col min="3853" max="3853" width="9.3984375" style="28" bestFit="1" customWidth="1"/>
    <col min="3854" max="4096" width="9" style="28"/>
    <col min="4097" max="4097" width="4.09765625" style="28" customWidth="1"/>
    <col min="4098" max="4100" width="8" style="28"/>
    <col min="4101" max="4101" width="18.8984375" style="28" customWidth="1"/>
    <col min="4102" max="4102" width="11.09765625" style="28" customWidth="1"/>
    <col min="4103" max="4103" width="18.09765625" style="28" customWidth="1"/>
    <col min="4104" max="4106" width="11.3984375" style="28" customWidth="1"/>
    <col min="4107" max="4107" width="17.09765625" style="28" customWidth="1"/>
    <col min="4108" max="4108" width="24.3984375" style="28" customWidth="1"/>
    <col min="4109" max="4109" width="9.3984375" style="28" bestFit="1" customWidth="1"/>
    <col min="4110" max="4352" width="8" style="28"/>
    <col min="4353" max="4353" width="4.09765625" style="28" customWidth="1"/>
    <col min="4354" max="4356" width="8" style="28"/>
    <col min="4357" max="4357" width="18.8984375" style="28" customWidth="1"/>
    <col min="4358" max="4358" width="11.09765625" style="28" customWidth="1"/>
    <col min="4359" max="4359" width="18.09765625" style="28" customWidth="1"/>
    <col min="4360" max="4362" width="11.3984375" style="28" customWidth="1"/>
    <col min="4363" max="4363" width="17.09765625" style="28" customWidth="1"/>
    <col min="4364" max="4364" width="24.3984375" style="28" customWidth="1"/>
    <col min="4365" max="4365" width="9.3984375" style="28" bestFit="1" customWidth="1"/>
    <col min="4366" max="4608" width="8" style="28"/>
    <col min="4609" max="4609" width="4.09765625" style="28" customWidth="1"/>
    <col min="4610" max="4612" width="8" style="28"/>
    <col min="4613" max="4613" width="18.8984375" style="28" customWidth="1"/>
    <col min="4614" max="4614" width="11.09765625" style="28" customWidth="1"/>
    <col min="4615" max="4615" width="18.09765625" style="28" customWidth="1"/>
    <col min="4616" max="4618" width="11.3984375" style="28" customWidth="1"/>
    <col min="4619" max="4619" width="17.09765625" style="28" customWidth="1"/>
    <col min="4620" max="4620" width="24.3984375" style="28" customWidth="1"/>
    <col min="4621" max="4621" width="9.3984375" style="28" bestFit="1" customWidth="1"/>
    <col min="4622" max="4864" width="8" style="28"/>
    <col min="4865" max="4865" width="4.09765625" style="28" customWidth="1"/>
    <col min="4866" max="4868" width="8" style="28"/>
    <col min="4869" max="4869" width="18.8984375" style="28" customWidth="1"/>
    <col min="4870" max="4870" width="11.09765625" style="28" customWidth="1"/>
    <col min="4871" max="4871" width="18.09765625" style="28" customWidth="1"/>
    <col min="4872" max="4874" width="11.3984375" style="28" customWidth="1"/>
    <col min="4875" max="4875" width="17.09765625" style="28" customWidth="1"/>
    <col min="4876" max="4876" width="24.3984375" style="28" customWidth="1"/>
    <col min="4877" max="4877" width="9.3984375" style="28" bestFit="1" customWidth="1"/>
    <col min="4878" max="5120" width="9" style="28"/>
    <col min="5121" max="5121" width="4.09765625" style="28" customWidth="1"/>
    <col min="5122" max="5124" width="8" style="28"/>
    <col min="5125" max="5125" width="18.8984375" style="28" customWidth="1"/>
    <col min="5126" max="5126" width="11.09765625" style="28" customWidth="1"/>
    <col min="5127" max="5127" width="18.09765625" style="28" customWidth="1"/>
    <col min="5128" max="5130" width="11.3984375" style="28" customWidth="1"/>
    <col min="5131" max="5131" width="17.09765625" style="28" customWidth="1"/>
    <col min="5132" max="5132" width="24.3984375" style="28" customWidth="1"/>
    <col min="5133" max="5133" width="9.3984375" style="28" bestFit="1" customWidth="1"/>
    <col min="5134" max="5376" width="8" style="28"/>
    <col min="5377" max="5377" width="4.09765625" style="28" customWidth="1"/>
    <col min="5378" max="5380" width="8" style="28"/>
    <col min="5381" max="5381" width="18.8984375" style="28" customWidth="1"/>
    <col min="5382" max="5382" width="11.09765625" style="28" customWidth="1"/>
    <col min="5383" max="5383" width="18.09765625" style="28" customWidth="1"/>
    <col min="5384" max="5386" width="11.3984375" style="28" customWidth="1"/>
    <col min="5387" max="5387" width="17.09765625" style="28" customWidth="1"/>
    <col min="5388" max="5388" width="24.3984375" style="28" customWidth="1"/>
    <col min="5389" max="5389" width="9.3984375" style="28" bestFit="1" customWidth="1"/>
    <col min="5390" max="5632" width="8" style="28"/>
    <col min="5633" max="5633" width="4.09765625" style="28" customWidth="1"/>
    <col min="5634" max="5636" width="8" style="28"/>
    <col min="5637" max="5637" width="18.8984375" style="28" customWidth="1"/>
    <col min="5638" max="5638" width="11.09765625" style="28" customWidth="1"/>
    <col min="5639" max="5639" width="18.09765625" style="28" customWidth="1"/>
    <col min="5640" max="5642" width="11.3984375" style="28" customWidth="1"/>
    <col min="5643" max="5643" width="17.09765625" style="28" customWidth="1"/>
    <col min="5644" max="5644" width="24.3984375" style="28" customWidth="1"/>
    <col min="5645" max="5645" width="9.3984375" style="28" bestFit="1" customWidth="1"/>
    <col min="5646" max="5888" width="8" style="28"/>
    <col min="5889" max="5889" width="4.09765625" style="28" customWidth="1"/>
    <col min="5890" max="5892" width="8" style="28"/>
    <col min="5893" max="5893" width="18.8984375" style="28" customWidth="1"/>
    <col min="5894" max="5894" width="11.09765625" style="28" customWidth="1"/>
    <col min="5895" max="5895" width="18.09765625" style="28" customWidth="1"/>
    <col min="5896" max="5898" width="11.3984375" style="28" customWidth="1"/>
    <col min="5899" max="5899" width="17.09765625" style="28" customWidth="1"/>
    <col min="5900" max="5900" width="24.3984375" style="28" customWidth="1"/>
    <col min="5901" max="5901" width="9.3984375" style="28" bestFit="1" customWidth="1"/>
    <col min="5902" max="6144" width="9" style="28"/>
    <col min="6145" max="6145" width="4.09765625" style="28" customWidth="1"/>
    <col min="6146" max="6148" width="8" style="28"/>
    <col min="6149" max="6149" width="18.8984375" style="28" customWidth="1"/>
    <col min="6150" max="6150" width="11.09765625" style="28" customWidth="1"/>
    <col min="6151" max="6151" width="18.09765625" style="28" customWidth="1"/>
    <col min="6152" max="6154" width="11.3984375" style="28" customWidth="1"/>
    <col min="6155" max="6155" width="17.09765625" style="28" customWidth="1"/>
    <col min="6156" max="6156" width="24.3984375" style="28" customWidth="1"/>
    <col min="6157" max="6157" width="9.3984375" style="28" bestFit="1" customWidth="1"/>
    <col min="6158" max="6400" width="8" style="28"/>
    <col min="6401" max="6401" width="4.09765625" style="28" customWidth="1"/>
    <col min="6402" max="6404" width="8" style="28"/>
    <col min="6405" max="6405" width="18.8984375" style="28" customWidth="1"/>
    <col min="6406" max="6406" width="11.09765625" style="28" customWidth="1"/>
    <col min="6407" max="6407" width="18.09765625" style="28" customWidth="1"/>
    <col min="6408" max="6410" width="11.3984375" style="28" customWidth="1"/>
    <col min="6411" max="6411" width="17.09765625" style="28" customWidth="1"/>
    <col min="6412" max="6412" width="24.3984375" style="28" customWidth="1"/>
    <col min="6413" max="6413" width="9.3984375" style="28" bestFit="1" customWidth="1"/>
    <col min="6414" max="6656" width="8" style="28"/>
    <col min="6657" max="6657" width="4.09765625" style="28" customWidth="1"/>
    <col min="6658" max="6660" width="8" style="28"/>
    <col min="6661" max="6661" width="18.8984375" style="28" customWidth="1"/>
    <col min="6662" max="6662" width="11.09765625" style="28" customWidth="1"/>
    <col min="6663" max="6663" width="18.09765625" style="28" customWidth="1"/>
    <col min="6664" max="6666" width="11.3984375" style="28" customWidth="1"/>
    <col min="6667" max="6667" width="17.09765625" style="28" customWidth="1"/>
    <col min="6668" max="6668" width="24.3984375" style="28" customWidth="1"/>
    <col min="6669" max="6669" width="9.3984375" style="28" bestFit="1" customWidth="1"/>
    <col min="6670" max="6912" width="8" style="28"/>
    <col min="6913" max="6913" width="4.09765625" style="28" customWidth="1"/>
    <col min="6914" max="6916" width="8" style="28"/>
    <col min="6917" max="6917" width="18.8984375" style="28" customWidth="1"/>
    <col min="6918" max="6918" width="11.09765625" style="28" customWidth="1"/>
    <col min="6919" max="6919" width="18.09765625" style="28" customWidth="1"/>
    <col min="6920" max="6922" width="11.3984375" style="28" customWidth="1"/>
    <col min="6923" max="6923" width="17.09765625" style="28" customWidth="1"/>
    <col min="6924" max="6924" width="24.3984375" style="28" customWidth="1"/>
    <col min="6925" max="6925" width="9.3984375" style="28" bestFit="1" customWidth="1"/>
    <col min="6926" max="7168" width="9" style="28"/>
    <col min="7169" max="7169" width="4.09765625" style="28" customWidth="1"/>
    <col min="7170" max="7172" width="8" style="28"/>
    <col min="7173" max="7173" width="18.8984375" style="28" customWidth="1"/>
    <col min="7174" max="7174" width="11.09765625" style="28" customWidth="1"/>
    <col min="7175" max="7175" width="18.09765625" style="28" customWidth="1"/>
    <col min="7176" max="7178" width="11.3984375" style="28" customWidth="1"/>
    <col min="7179" max="7179" width="17.09765625" style="28" customWidth="1"/>
    <col min="7180" max="7180" width="24.3984375" style="28" customWidth="1"/>
    <col min="7181" max="7181" width="9.3984375" style="28" bestFit="1" customWidth="1"/>
    <col min="7182" max="7424" width="8" style="28"/>
    <col min="7425" max="7425" width="4.09765625" style="28" customWidth="1"/>
    <col min="7426" max="7428" width="8" style="28"/>
    <col min="7429" max="7429" width="18.8984375" style="28" customWidth="1"/>
    <col min="7430" max="7430" width="11.09765625" style="28" customWidth="1"/>
    <col min="7431" max="7431" width="18.09765625" style="28" customWidth="1"/>
    <col min="7432" max="7434" width="11.3984375" style="28" customWidth="1"/>
    <col min="7435" max="7435" width="17.09765625" style="28" customWidth="1"/>
    <col min="7436" max="7436" width="24.3984375" style="28" customWidth="1"/>
    <col min="7437" max="7437" width="9.3984375" style="28" bestFit="1" customWidth="1"/>
    <col min="7438" max="7680" width="8" style="28"/>
    <col min="7681" max="7681" width="4.09765625" style="28" customWidth="1"/>
    <col min="7682" max="7684" width="8" style="28"/>
    <col min="7685" max="7685" width="18.8984375" style="28" customWidth="1"/>
    <col min="7686" max="7686" width="11.09765625" style="28" customWidth="1"/>
    <col min="7687" max="7687" width="18.09765625" style="28" customWidth="1"/>
    <col min="7688" max="7690" width="11.3984375" style="28" customWidth="1"/>
    <col min="7691" max="7691" width="17.09765625" style="28" customWidth="1"/>
    <col min="7692" max="7692" width="24.3984375" style="28" customWidth="1"/>
    <col min="7693" max="7693" width="9.3984375" style="28" bestFit="1" customWidth="1"/>
    <col min="7694" max="7936" width="8" style="28"/>
    <col min="7937" max="7937" width="4.09765625" style="28" customWidth="1"/>
    <col min="7938" max="7940" width="8" style="28"/>
    <col min="7941" max="7941" width="18.8984375" style="28" customWidth="1"/>
    <col min="7942" max="7942" width="11.09765625" style="28" customWidth="1"/>
    <col min="7943" max="7943" width="18.09765625" style="28" customWidth="1"/>
    <col min="7944" max="7946" width="11.3984375" style="28" customWidth="1"/>
    <col min="7947" max="7947" width="17.09765625" style="28" customWidth="1"/>
    <col min="7948" max="7948" width="24.3984375" style="28" customWidth="1"/>
    <col min="7949" max="7949" width="9.3984375" style="28" bestFit="1" customWidth="1"/>
    <col min="7950" max="8192" width="9" style="28"/>
    <col min="8193" max="8193" width="4.09765625" style="28" customWidth="1"/>
    <col min="8194" max="8196" width="8" style="28"/>
    <col min="8197" max="8197" width="18.8984375" style="28" customWidth="1"/>
    <col min="8198" max="8198" width="11.09765625" style="28" customWidth="1"/>
    <col min="8199" max="8199" width="18.09765625" style="28" customWidth="1"/>
    <col min="8200" max="8202" width="11.3984375" style="28" customWidth="1"/>
    <col min="8203" max="8203" width="17.09765625" style="28" customWidth="1"/>
    <col min="8204" max="8204" width="24.3984375" style="28" customWidth="1"/>
    <col min="8205" max="8205" width="9.3984375" style="28" bestFit="1" customWidth="1"/>
    <col min="8206" max="8448" width="8" style="28"/>
    <col min="8449" max="8449" width="4.09765625" style="28" customWidth="1"/>
    <col min="8450" max="8452" width="8" style="28"/>
    <col min="8453" max="8453" width="18.8984375" style="28" customWidth="1"/>
    <col min="8454" max="8454" width="11.09765625" style="28" customWidth="1"/>
    <col min="8455" max="8455" width="18.09765625" style="28" customWidth="1"/>
    <col min="8456" max="8458" width="11.3984375" style="28" customWidth="1"/>
    <col min="8459" max="8459" width="17.09765625" style="28" customWidth="1"/>
    <col min="8460" max="8460" width="24.3984375" style="28" customWidth="1"/>
    <col min="8461" max="8461" width="9.3984375" style="28" bestFit="1" customWidth="1"/>
    <col min="8462" max="8704" width="8" style="28"/>
    <col min="8705" max="8705" width="4.09765625" style="28" customWidth="1"/>
    <col min="8706" max="8708" width="8" style="28"/>
    <col min="8709" max="8709" width="18.8984375" style="28" customWidth="1"/>
    <col min="8710" max="8710" width="11.09765625" style="28" customWidth="1"/>
    <col min="8711" max="8711" width="18.09765625" style="28" customWidth="1"/>
    <col min="8712" max="8714" width="11.3984375" style="28" customWidth="1"/>
    <col min="8715" max="8715" width="17.09765625" style="28" customWidth="1"/>
    <col min="8716" max="8716" width="24.3984375" style="28" customWidth="1"/>
    <col min="8717" max="8717" width="9.3984375" style="28" bestFit="1" customWidth="1"/>
    <col min="8718" max="8960" width="8" style="28"/>
    <col min="8961" max="8961" width="4.09765625" style="28" customWidth="1"/>
    <col min="8962" max="8964" width="8" style="28"/>
    <col min="8965" max="8965" width="18.8984375" style="28" customWidth="1"/>
    <col min="8966" max="8966" width="11.09765625" style="28" customWidth="1"/>
    <col min="8967" max="8967" width="18.09765625" style="28" customWidth="1"/>
    <col min="8968" max="8970" width="11.3984375" style="28" customWidth="1"/>
    <col min="8971" max="8971" width="17.09765625" style="28" customWidth="1"/>
    <col min="8972" max="8972" width="24.3984375" style="28" customWidth="1"/>
    <col min="8973" max="8973" width="9.3984375" style="28" bestFit="1" customWidth="1"/>
    <col min="8974" max="9216" width="9" style="28"/>
    <col min="9217" max="9217" width="4.09765625" style="28" customWidth="1"/>
    <col min="9218" max="9220" width="8" style="28"/>
    <col min="9221" max="9221" width="18.8984375" style="28" customWidth="1"/>
    <col min="9222" max="9222" width="11.09765625" style="28" customWidth="1"/>
    <col min="9223" max="9223" width="18.09765625" style="28" customWidth="1"/>
    <col min="9224" max="9226" width="11.3984375" style="28" customWidth="1"/>
    <col min="9227" max="9227" width="17.09765625" style="28" customWidth="1"/>
    <col min="9228" max="9228" width="24.3984375" style="28" customWidth="1"/>
    <col min="9229" max="9229" width="9.3984375" style="28" bestFit="1" customWidth="1"/>
    <col min="9230" max="9472" width="8" style="28"/>
    <col min="9473" max="9473" width="4.09765625" style="28" customWidth="1"/>
    <col min="9474" max="9476" width="8" style="28"/>
    <col min="9477" max="9477" width="18.8984375" style="28" customWidth="1"/>
    <col min="9478" max="9478" width="11.09765625" style="28" customWidth="1"/>
    <col min="9479" max="9479" width="18.09765625" style="28" customWidth="1"/>
    <col min="9480" max="9482" width="11.3984375" style="28" customWidth="1"/>
    <col min="9483" max="9483" width="17.09765625" style="28" customWidth="1"/>
    <col min="9484" max="9484" width="24.3984375" style="28" customWidth="1"/>
    <col min="9485" max="9485" width="9.3984375" style="28" bestFit="1" customWidth="1"/>
    <col min="9486" max="9728" width="8" style="28"/>
    <col min="9729" max="9729" width="4.09765625" style="28" customWidth="1"/>
    <col min="9730" max="9732" width="8" style="28"/>
    <col min="9733" max="9733" width="18.8984375" style="28" customWidth="1"/>
    <col min="9734" max="9734" width="11.09765625" style="28" customWidth="1"/>
    <col min="9735" max="9735" width="18.09765625" style="28" customWidth="1"/>
    <col min="9736" max="9738" width="11.3984375" style="28" customWidth="1"/>
    <col min="9739" max="9739" width="17.09765625" style="28" customWidth="1"/>
    <col min="9740" max="9740" width="24.3984375" style="28" customWidth="1"/>
    <col min="9741" max="9741" width="9.3984375" style="28" bestFit="1" customWidth="1"/>
    <col min="9742" max="9984" width="8" style="28"/>
    <col min="9985" max="9985" width="4.09765625" style="28" customWidth="1"/>
    <col min="9986" max="9988" width="8" style="28"/>
    <col min="9989" max="9989" width="18.8984375" style="28" customWidth="1"/>
    <col min="9990" max="9990" width="11.09765625" style="28" customWidth="1"/>
    <col min="9991" max="9991" width="18.09765625" style="28" customWidth="1"/>
    <col min="9992" max="9994" width="11.3984375" style="28" customWidth="1"/>
    <col min="9995" max="9995" width="17.09765625" style="28" customWidth="1"/>
    <col min="9996" max="9996" width="24.3984375" style="28" customWidth="1"/>
    <col min="9997" max="9997" width="9.3984375" style="28" bestFit="1" customWidth="1"/>
    <col min="9998" max="10240" width="9" style="28"/>
    <col min="10241" max="10241" width="4.09765625" style="28" customWidth="1"/>
    <col min="10242" max="10244" width="8" style="28"/>
    <col min="10245" max="10245" width="18.8984375" style="28" customWidth="1"/>
    <col min="10246" max="10246" width="11.09765625" style="28" customWidth="1"/>
    <col min="10247" max="10247" width="18.09765625" style="28" customWidth="1"/>
    <col min="10248" max="10250" width="11.3984375" style="28" customWidth="1"/>
    <col min="10251" max="10251" width="17.09765625" style="28" customWidth="1"/>
    <col min="10252" max="10252" width="24.3984375" style="28" customWidth="1"/>
    <col min="10253" max="10253" width="9.3984375" style="28" bestFit="1" customWidth="1"/>
    <col min="10254" max="10496" width="8" style="28"/>
    <col min="10497" max="10497" width="4.09765625" style="28" customWidth="1"/>
    <col min="10498" max="10500" width="8" style="28"/>
    <col min="10501" max="10501" width="18.8984375" style="28" customWidth="1"/>
    <col min="10502" max="10502" width="11.09765625" style="28" customWidth="1"/>
    <col min="10503" max="10503" width="18.09765625" style="28" customWidth="1"/>
    <col min="10504" max="10506" width="11.3984375" style="28" customWidth="1"/>
    <col min="10507" max="10507" width="17.09765625" style="28" customWidth="1"/>
    <col min="10508" max="10508" width="24.3984375" style="28" customWidth="1"/>
    <col min="10509" max="10509" width="9.3984375" style="28" bestFit="1" customWidth="1"/>
    <col min="10510" max="10752" width="8" style="28"/>
    <col min="10753" max="10753" width="4.09765625" style="28" customWidth="1"/>
    <col min="10754" max="10756" width="8" style="28"/>
    <col min="10757" max="10757" width="18.8984375" style="28" customWidth="1"/>
    <col min="10758" max="10758" width="11.09765625" style="28" customWidth="1"/>
    <col min="10759" max="10759" width="18.09765625" style="28" customWidth="1"/>
    <col min="10760" max="10762" width="11.3984375" style="28" customWidth="1"/>
    <col min="10763" max="10763" width="17.09765625" style="28" customWidth="1"/>
    <col min="10764" max="10764" width="24.3984375" style="28" customWidth="1"/>
    <col min="10765" max="10765" width="9.3984375" style="28" bestFit="1" customWidth="1"/>
    <col min="10766" max="11008" width="8" style="28"/>
    <col min="11009" max="11009" width="4.09765625" style="28" customWidth="1"/>
    <col min="11010" max="11012" width="8" style="28"/>
    <col min="11013" max="11013" width="18.8984375" style="28" customWidth="1"/>
    <col min="11014" max="11014" width="11.09765625" style="28" customWidth="1"/>
    <col min="11015" max="11015" width="18.09765625" style="28" customWidth="1"/>
    <col min="11016" max="11018" width="11.3984375" style="28" customWidth="1"/>
    <col min="11019" max="11019" width="17.09765625" style="28" customWidth="1"/>
    <col min="11020" max="11020" width="24.3984375" style="28" customWidth="1"/>
    <col min="11021" max="11021" width="9.3984375" style="28" bestFit="1" customWidth="1"/>
    <col min="11022" max="11264" width="9" style="28"/>
    <col min="11265" max="11265" width="4.09765625" style="28" customWidth="1"/>
    <col min="11266" max="11268" width="8" style="28"/>
    <col min="11269" max="11269" width="18.8984375" style="28" customWidth="1"/>
    <col min="11270" max="11270" width="11.09765625" style="28" customWidth="1"/>
    <col min="11271" max="11271" width="18.09765625" style="28" customWidth="1"/>
    <col min="11272" max="11274" width="11.3984375" style="28" customWidth="1"/>
    <col min="11275" max="11275" width="17.09765625" style="28" customWidth="1"/>
    <col min="11276" max="11276" width="24.3984375" style="28" customWidth="1"/>
    <col min="11277" max="11277" width="9.3984375" style="28" bestFit="1" customWidth="1"/>
    <col min="11278" max="11520" width="8" style="28"/>
    <col min="11521" max="11521" width="4.09765625" style="28" customWidth="1"/>
    <col min="11522" max="11524" width="8" style="28"/>
    <col min="11525" max="11525" width="18.8984375" style="28" customWidth="1"/>
    <col min="11526" max="11526" width="11.09765625" style="28" customWidth="1"/>
    <col min="11527" max="11527" width="18.09765625" style="28" customWidth="1"/>
    <col min="11528" max="11530" width="11.3984375" style="28" customWidth="1"/>
    <col min="11531" max="11531" width="17.09765625" style="28" customWidth="1"/>
    <col min="11532" max="11532" width="24.3984375" style="28" customWidth="1"/>
    <col min="11533" max="11533" width="9.3984375" style="28" bestFit="1" customWidth="1"/>
    <col min="11534" max="11776" width="8" style="28"/>
    <col min="11777" max="11777" width="4.09765625" style="28" customWidth="1"/>
    <col min="11778" max="11780" width="8" style="28"/>
    <col min="11781" max="11781" width="18.8984375" style="28" customWidth="1"/>
    <col min="11782" max="11782" width="11.09765625" style="28" customWidth="1"/>
    <col min="11783" max="11783" width="18.09765625" style="28" customWidth="1"/>
    <col min="11784" max="11786" width="11.3984375" style="28" customWidth="1"/>
    <col min="11787" max="11787" width="17.09765625" style="28" customWidth="1"/>
    <col min="11788" max="11788" width="24.3984375" style="28" customWidth="1"/>
    <col min="11789" max="11789" width="9.3984375" style="28" bestFit="1" customWidth="1"/>
    <col min="11790" max="12032" width="8" style="28"/>
    <col min="12033" max="12033" width="4.09765625" style="28" customWidth="1"/>
    <col min="12034" max="12036" width="8" style="28"/>
    <col min="12037" max="12037" width="18.8984375" style="28" customWidth="1"/>
    <col min="12038" max="12038" width="11.09765625" style="28" customWidth="1"/>
    <col min="12039" max="12039" width="18.09765625" style="28" customWidth="1"/>
    <col min="12040" max="12042" width="11.3984375" style="28" customWidth="1"/>
    <col min="12043" max="12043" width="17.09765625" style="28" customWidth="1"/>
    <col min="12044" max="12044" width="24.3984375" style="28" customWidth="1"/>
    <col min="12045" max="12045" width="9.3984375" style="28" bestFit="1" customWidth="1"/>
    <col min="12046" max="12288" width="9" style="28"/>
    <col min="12289" max="12289" width="4.09765625" style="28" customWidth="1"/>
    <col min="12290" max="12292" width="8" style="28"/>
    <col min="12293" max="12293" width="18.8984375" style="28" customWidth="1"/>
    <col min="12294" max="12294" width="11.09765625" style="28" customWidth="1"/>
    <col min="12295" max="12295" width="18.09765625" style="28" customWidth="1"/>
    <col min="12296" max="12298" width="11.3984375" style="28" customWidth="1"/>
    <col min="12299" max="12299" width="17.09765625" style="28" customWidth="1"/>
    <col min="12300" max="12300" width="24.3984375" style="28" customWidth="1"/>
    <col min="12301" max="12301" width="9.3984375" style="28" bestFit="1" customWidth="1"/>
    <col min="12302" max="12544" width="8" style="28"/>
    <col min="12545" max="12545" width="4.09765625" style="28" customWidth="1"/>
    <col min="12546" max="12548" width="8" style="28"/>
    <col min="12549" max="12549" width="18.8984375" style="28" customWidth="1"/>
    <col min="12550" max="12550" width="11.09765625" style="28" customWidth="1"/>
    <col min="12551" max="12551" width="18.09765625" style="28" customWidth="1"/>
    <col min="12552" max="12554" width="11.3984375" style="28" customWidth="1"/>
    <col min="12555" max="12555" width="17.09765625" style="28" customWidth="1"/>
    <col min="12556" max="12556" width="24.3984375" style="28" customWidth="1"/>
    <col min="12557" max="12557" width="9.3984375" style="28" bestFit="1" customWidth="1"/>
    <col min="12558" max="12800" width="8" style="28"/>
    <col min="12801" max="12801" width="4.09765625" style="28" customWidth="1"/>
    <col min="12802" max="12804" width="8" style="28"/>
    <col min="12805" max="12805" width="18.8984375" style="28" customWidth="1"/>
    <col min="12806" max="12806" width="11.09765625" style="28" customWidth="1"/>
    <col min="12807" max="12807" width="18.09765625" style="28" customWidth="1"/>
    <col min="12808" max="12810" width="11.3984375" style="28" customWidth="1"/>
    <col min="12811" max="12811" width="17.09765625" style="28" customWidth="1"/>
    <col min="12812" max="12812" width="24.3984375" style="28" customWidth="1"/>
    <col min="12813" max="12813" width="9.3984375" style="28" bestFit="1" customWidth="1"/>
    <col min="12814" max="13056" width="8" style="28"/>
    <col min="13057" max="13057" width="4.09765625" style="28" customWidth="1"/>
    <col min="13058" max="13060" width="8" style="28"/>
    <col min="13061" max="13061" width="18.8984375" style="28" customWidth="1"/>
    <col min="13062" max="13062" width="11.09765625" style="28" customWidth="1"/>
    <col min="13063" max="13063" width="18.09765625" style="28" customWidth="1"/>
    <col min="13064" max="13066" width="11.3984375" style="28" customWidth="1"/>
    <col min="13067" max="13067" width="17.09765625" style="28" customWidth="1"/>
    <col min="13068" max="13068" width="24.3984375" style="28" customWidth="1"/>
    <col min="13069" max="13069" width="9.3984375" style="28" bestFit="1" customWidth="1"/>
    <col min="13070" max="13312" width="9" style="28"/>
    <col min="13313" max="13313" width="4.09765625" style="28" customWidth="1"/>
    <col min="13314" max="13316" width="8" style="28"/>
    <col min="13317" max="13317" width="18.8984375" style="28" customWidth="1"/>
    <col min="13318" max="13318" width="11.09765625" style="28" customWidth="1"/>
    <col min="13319" max="13319" width="18.09765625" style="28" customWidth="1"/>
    <col min="13320" max="13322" width="11.3984375" style="28" customWidth="1"/>
    <col min="13323" max="13323" width="17.09765625" style="28" customWidth="1"/>
    <col min="13324" max="13324" width="24.3984375" style="28" customWidth="1"/>
    <col min="13325" max="13325" width="9.3984375" style="28" bestFit="1" customWidth="1"/>
    <col min="13326" max="13568" width="8" style="28"/>
    <col min="13569" max="13569" width="4.09765625" style="28" customWidth="1"/>
    <col min="13570" max="13572" width="8" style="28"/>
    <col min="13573" max="13573" width="18.8984375" style="28" customWidth="1"/>
    <col min="13574" max="13574" width="11.09765625" style="28" customWidth="1"/>
    <col min="13575" max="13575" width="18.09765625" style="28" customWidth="1"/>
    <col min="13576" max="13578" width="11.3984375" style="28" customWidth="1"/>
    <col min="13579" max="13579" width="17.09765625" style="28" customWidth="1"/>
    <col min="13580" max="13580" width="24.3984375" style="28" customWidth="1"/>
    <col min="13581" max="13581" width="9.3984375" style="28" bestFit="1" customWidth="1"/>
    <col min="13582" max="13824" width="8" style="28"/>
    <col min="13825" max="13825" width="4.09765625" style="28" customWidth="1"/>
    <col min="13826" max="13828" width="8" style="28"/>
    <col min="13829" max="13829" width="18.8984375" style="28" customWidth="1"/>
    <col min="13830" max="13830" width="11.09765625" style="28" customWidth="1"/>
    <col min="13831" max="13831" width="18.09765625" style="28" customWidth="1"/>
    <col min="13832" max="13834" width="11.3984375" style="28" customWidth="1"/>
    <col min="13835" max="13835" width="17.09765625" style="28" customWidth="1"/>
    <col min="13836" max="13836" width="24.3984375" style="28" customWidth="1"/>
    <col min="13837" max="13837" width="9.3984375" style="28" bestFit="1" customWidth="1"/>
    <col min="13838" max="14080" width="8" style="28"/>
    <col min="14081" max="14081" width="4.09765625" style="28" customWidth="1"/>
    <col min="14082" max="14084" width="8" style="28"/>
    <col min="14085" max="14085" width="18.8984375" style="28" customWidth="1"/>
    <col min="14086" max="14086" width="11.09765625" style="28" customWidth="1"/>
    <col min="14087" max="14087" width="18.09765625" style="28" customWidth="1"/>
    <col min="14088" max="14090" width="11.3984375" style="28" customWidth="1"/>
    <col min="14091" max="14091" width="17.09765625" style="28" customWidth="1"/>
    <col min="14092" max="14092" width="24.3984375" style="28" customWidth="1"/>
    <col min="14093" max="14093" width="9.3984375" style="28" bestFit="1" customWidth="1"/>
    <col min="14094" max="14336" width="9" style="28"/>
    <col min="14337" max="14337" width="4.09765625" style="28" customWidth="1"/>
    <col min="14338" max="14340" width="8" style="28"/>
    <col min="14341" max="14341" width="18.8984375" style="28" customWidth="1"/>
    <col min="14342" max="14342" width="11.09765625" style="28" customWidth="1"/>
    <col min="14343" max="14343" width="18.09765625" style="28" customWidth="1"/>
    <col min="14344" max="14346" width="11.3984375" style="28" customWidth="1"/>
    <col min="14347" max="14347" width="17.09765625" style="28" customWidth="1"/>
    <col min="14348" max="14348" width="24.3984375" style="28" customWidth="1"/>
    <col min="14349" max="14349" width="9.3984375" style="28" bestFit="1" customWidth="1"/>
    <col min="14350" max="14592" width="8" style="28"/>
    <col min="14593" max="14593" width="4.09765625" style="28" customWidth="1"/>
    <col min="14594" max="14596" width="8" style="28"/>
    <col min="14597" max="14597" width="18.8984375" style="28" customWidth="1"/>
    <col min="14598" max="14598" width="11.09765625" style="28" customWidth="1"/>
    <col min="14599" max="14599" width="18.09765625" style="28" customWidth="1"/>
    <col min="14600" max="14602" width="11.3984375" style="28" customWidth="1"/>
    <col min="14603" max="14603" width="17.09765625" style="28" customWidth="1"/>
    <col min="14604" max="14604" width="24.3984375" style="28" customWidth="1"/>
    <col min="14605" max="14605" width="9.3984375" style="28" bestFit="1" customWidth="1"/>
    <col min="14606" max="14848" width="8" style="28"/>
    <col min="14849" max="14849" width="4.09765625" style="28" customWidth="1"/>
    <col min="14850" max="14852" width="8" style="28"/>
    <col min="14853" max="14853" width="18.8984375" style="28" customWidth="1"/>
    <col min="14854" max="14854" width="11.09765625" style="28" customWidth="1"/>
    <col min="14855" max="14855" width="18.09765625" style="28" customWidth="1"/>
    <col min="14856" max="14858" width="11.3984375" style="28" customWidth="1"/>
    <col min="14859" max="14859" width="17.09765625" style="28" customWidth="1"/>
    <col min="14860" max="14860" width="24.3984375" style="28" customWidth="1"/>
    <col min="14861" max="14861" width="9.3984375" style="28" bestFit="1" customWidth="1"/>
    <col min="14862" max="15104" width="8" style="28"/>
    <col min="15105" max="15105" width="4.09765625" style="28" customWidth="1"/>
    <col min="15106" max="15108" width="8" style="28"/>
    <col min="15109" max="15109" width="18.8984375" style="28" customWidth="1"/>
    <col min="15110" max="15110" width="11.09765625" style="28" customWidth="1"/>
    <col min="15111" max="15111" width="18.09765625" style="28" customWidth="1"/>
    <col min="15112" max="15114" width="11.3984375" style="28" customWidth="1"/>
    <col min="15115" max="15115" width="17.09765625" style="28" customWidth="1"/>
    <col min="15116" max="15116" width="24.3984375" style="28" customWidth="1"/>
    <col min="15117" max="15117" width="9.3984375" style="28" bestFit="1" customWidth="1"/>
    <col min="15118" max="15360" width="9" style="28"/>
    <col min="15361" max="15361" width="4.09765625" style="28" customWidth="1"/>
    <col min="15362" max="15364" width="8" style="28"/>
    <col min="15365" max="15365" width="18.8984375" style="28" customWidth="1"/>
    <col min="15366" max="15366" width="11.09765625" style="28" customWidth="1"/>
    <col min="15367" max="15367" width="18.09765625" style="28" customWidth="1"/>
    <col min="15368" max="15370" width="11.3984375" style="28" customWidth="1"/>
    <col min="15371" max="15371" width="17.09765625" style="28" customWidth="1"/>
    <col min="15372" max="15372" width="24.3984375" style="28" customWidth="1"/>
    <col min="15373" max="15373" width="9.3984375" style="28" bestFit="1" customWidth="1"/>
    <col min="15374" max="15616" width="8" style="28"/>
    <col min="15617" max="15617" width="4.09765625" style="28" customWidth="1"/>
    <col min="15618" max="15620" width="8" style="28"/>
    <col min="15621" max="15621" width="18.8984375" style="28" customWidth="1"/>
    <col min="15622" max="15622" width="11.09765625" style="28" customWidth="1"/>
    <col min="15623" max="15623" width="18.09765625" style="28" customWidth="1"/>
    <col min="15624" max="15626" width="11.3984375" style="28" customWidth="1"/>
    <col min="15627" max="15627" width="17.09765625" style="28" customWidth="1"/>
    <col min="15628" max="15628" width="24.3984375" style="28" customWidth="1"/>
    <col min="15629" max="15629" width="9.3984375" style="28" bestFit="1" customWidth="1"/>
    <col min="15630" max="15872" width="8" style="28"/>
    <col min="15873" max="15873" width="4.09765625" style="28" customWidth="1"/>
    <col min="15874" max="15876" width="8" style="28"/>
    <col min="15877" max="15877" width="18.8984375" style="28" customWidth="1"/>
    <col min="15878" max="15878" width="11.09765625" style="28" customWidth="1"/>
    <col min="15879" max="15879" width="18.09765625" style="28" customWidth="1"/>
    <col min="15880" max="15882" width="11.3984375" style="28" customWidth="1"/>
    <col min="15883" max="15883" width="17.09765625" style="28" customWidth="1"/>
    <col min="15884" max="15884" width="24.3984375" style="28" customWidth="1"/>
    <col min="15885" max="15885" width="9.3984375" style="28" bestFit="1" customWidth="1"/>
    <col min="15886" max="16128" width="8" style="28"/>
    <col min="16129" max="16129" width="4.09765625" style="28" customWidth="1"/>
    <col min="16130" max="16132" width="8" style="28"/>
    <col min="16133" max="16133" width="18.8984375" style="28" customWidth="1"/>
    <col min="16134" max="16134" width="11.09765625" style="28" customWidth="1"/>
    <col min="16135" max="16135" width="18.09765625" style="28" customWidth="1"/>
    <col min="16136" max="16138" width="11.3984375" style="28" customWidth="1"/>
    <col min="16139" max="16139" width="17.09765625" style="28" customWidth="1"/>
    <col min="16140" max="16140" width="24.3984375" style="28" customWidth="1"/>
    <col min="16141" max="16141" width="9.3984375" style="28" bestFit="1" customWidth="1"/>
    <col min="16142" max="16384" width="9" style="28"/>
  </cols>
  <sheetData>
    <row r="1" spans="1:26" ht="5.25" customHeight="1"/>
    <row r="2" spans="1:26" ht="32.4">
      <c r="B2" s="30" t="s">
        <v>451</v>
      </c>
      <c r="C2" s="30"/>
      <c r="D2" s="30"/>
      <c r="E2" s="30"/>
      <c r="F2" s="30"/>
      <c r="G2" s="30"/>
      <c r="H2" s="30"/>
      <c r="I2" s="30"/>
      <c r="J2" s="30"/>
      <c r="K2" s="30"/>
    </row>
    <row r="4" spans="1:26">
      <c r="F4" s="36" t="s">
        <v>276</v>
      </c>
      <c r="H4" s="36" t="s">
        <v>428</v>
      </c>
      <c r="Z4" s="34"/>
    </row>
    <row r="5" spans="1:26">
      <c r="Z5" s="34"/>
    </row>
    <row r="6" spans="1:26">
      <c r="A6" s="34"/>
      <c r="B6" s="38" t="s">
        <v>239</v>
      </c>
      <c r="C6" s="38"/>
      <c r="D6" s="38"/>
      <c r="E6" s="38"/>
      <c r="F6" s="38"/>
      <c r="G6" s="38"/>
      <c r="H6" s="38"/>
      <c r="I6" s="40"/>
    </row>
    <row r="7" spans="1:26">
      <c r="A7" s="34"/>
      <c r="B7" s="40"/>
      <c r="C7" s="9" t="s">
        <v>145</v>
      </c>
      <c r="D7" s="9"/>
      <c r="E7" s="9"/>
      <c r="F7" s="9" t="s">
        <v>552</v>
      </c>
      <c r="G7" s="9"/>
      <c r="H7" s="9"/>
      <c r="I7" s="9"/>
      <c r="J7" s="9"/>
      <c r="K7" s="9"/>
    </row>
    <row r="8" spans="1:26">
      <c r="A8" s="34"/>
      <c r="B8" s="40"/>
      <c r="C8" s="9" t="s">
        <v>146</v>
      </c>
      <c r="D8" s="9"/>
      <c r="E8" s="9"/>
      <c r="F8" s="9" t="s">
        <v>106</v>
      </c>
      <c r="G8" s="9"/>
      <c r="H8" s="9"/>
      <c r="I8" s="9"/>
      <c r="J8" s="9"/>
      <c r="K8" s="9"/>
    </row>
    <row r="9" spans="1:26">
      <c r="A9" s="34"/>
      <c r="B9" s="40"/>
      <c r="C9" s="9"/>
      <c r="D9" s="9"/>
      <c r="E9" s="9"/>
      <c r="F9" s="9"/>
      <c r="G9" s="9"/>
      <c r="H9" s="9"/>
      <c r="I9" s="9"/>
      <c r="J9" s="9"/>
      <c r="K9" s="9"/>
    </row>
    <row r="10" spans="1:26">
      <c r="A10" s="34"/>
      <c r="B10" s="38" t="s">
        <v>429</v>
      </c>
      <c r="C10" s="38"/>
      <c r="D10" s="38"/>
      <c r="E10" s="38"/>
      <c r="F10" s="38"/>
      <c r="G10" s="38"/>
      <c r="H10" s="38"/>
      <c r="I10" s="9"/>
      <c r="J10" s="9"/>
      <c r="K10" s="9"/>
    </row>
    <row r="11" spans="1:26">
      <c r="A11" s="34"/>
      <c r="B11" s="40"/>
      <c r="C11" s="9" t="s">
        <v>65</v>
      </c>
      <c r="D11" s="9"/>
      <c r="E11" s="9"/>
      <c r="F11" s="9" t="s">
        <v>106</v>
      </c>
      <c r="G11" s="9"/>
      <c r="H11" s="9" t="s">
        <v>27</v>
      </c>
      <c r="I11" s="9"/>
      <c r="J11" s="9"/>
      <c r="K11" s="9"/>
    </row>
    <row r="12" spans="1:26">
      <c r="A12" s="34"/>
      <c r="B12" s="40"/>
      <c r="C12" s="9" t="s">
        <v>469</v>
      </c>
      <c r="D12" s="9"/>
      <c r="E12" s="9"/>
      <c r="F12" s="9" t="s">
        <v>106</v>
      </c>
      <c r="G12" s="9"/>
      <c r="H12" s="9" t="s">
        <v>518</v>
      </c>
      <c r="I12" s="9"/>
      <c r="J12" s="9"/>
      <c r="K12" s="9"/>
    </row>
    <row r="13" spans="1:26">
      <c r="A13" s="34"/>
      <c r="B13" s="40"/>
      <c r="C13" s="9" t="s">
        <v>93</v>
      </c>
      <c r="D13" s="9"/>
      <c r="E13" s="9"/>
      <c r="F13" s="9" t="s">
        <v>106</v>
      </c>
      <c r="G13" s="9"/>
      <c r="H13" s="9"/>
      <c r="I13" s="9"/>
      <c r="J13" s="9"/>
      <c r="K13" s="9"/>
    </row>
    <row r="14" spans="1:26">
      <c r="A14" s="34"/>
      <c r="B14" s="40"/>
      <c r="C14" s="9" t="s">
        <v>458</v>
      </c>
      <c r="D14" s="9"/>
      <c r="E14" s="9"/>
      <c r="F14" s="9" t="s">
        <v>106</v>
      </c>
      <c r="G14" s="9"/>
      <c r="H14" s="9"/>
      <c r="I14" s="9"/>
      <c r="J14" s="9"/>
      <c r="K14" s="9"/>
    </row>
    <row r="15" spans="1:26">
      <c r="A15" s="34"/>
      <c r="B15" s="40"/>
      <c r="C15" s="9" t="s">
        <v>56</v>
      </c>
      <c r="D15" s="9"/>
      <c r="E15" s="9"/>
      <c r="F15" s="9" t="s">
        <v>106</v>
      </c>
      <c r="G15" s="9"/>
      <c r="H15" s="9"/>
      <c r="I15" s="9"/>
      <c r="J15" s="9"/>
      <c r="K15" s="9"/>
    </row>
    <row r="16" spans="1:26">
      <c r="A16" s="34"/>
      <c r="B16" s="40"/>
      <c r="C16" s="9"/>
      <c r="D16" s="9"/>
      <c r="E16" s="9"/>
      <c r="F16" s="9"/>
      <c r="G16" s="9"/>
      <c r="H16" s="9"/>
      <c r="I16" s="9"/>
      <c r="J16" s="9"/>
      <c r="K16" s="9"/>
    </row>
    <row r="17" spans="1:11">
      <c r="A17" s="34"/>
      <c r="B17" s="38" t="s">
        <v>277</v>
      </c>
      <c r="C17" s="38"/>
      <c r="D17" s="38"/>
      <c r="E17" s="38"/>
      <c r="F17" s="38"/>
      <c r="G17" s="38"/>
      <c r="H17" s="38"/>
      <c r="I17" s="9"/>
      <c r="J17" s="9"/>
      <c r="K17" s="9"/>
    </row>
    <row r="18" spans="1:11">
      <c r="A18" s="34"/>
      <c r="B18" s="40"/>
      <c r="C18" s="9" t="s">
        <v>517</v>
      </c>
      <c r="D18" s="9"/>
      <c r="E18" s="9"/>
      <c r="F18" s="9" t="s">
        <v>106</v>
      </c>
      <c r="G18" s="9"/>
      <c r="H18" s="9"/>
      <c r="I18" s="9"/>
      <c r="J18" s="9"/>
      <c r="K18" s="9"/>
    </row>
    <row r="19" spans="1:11">
      <c r="A19" s="34"/>
      <c r="B19" s="40"/>
      <c r="C19" s="9" t="s">
        <v>57</v>
      </c>
      <c r="D19" s="9"/>
      <c r="E19" s="9"/>
      <c r="F19" s="9" t="s">
        <v>238</v>
      </c>
      <c r="G19" s="9"/>
      <c r="H19" s="9" t="s">
        <v>358</v>
      </c>
      <c r="I19" s="9"/>
      <c r="J19" s="9"/>
      <c r="K19" s="9"/>
    </row>
    <row r="20" spans="1:11">
      <c r="A20" s="34"/>
      <c r="B20" s="40"/>
      <c r="C20" s="9"/>
      <c r="D20" s="9"/>
      <c r="E20" s="9"/>
      <c r="F20" s="117" t="s">
        <v>107</v>
      </c>
      <c r="G20" s="9"/>
      <c r="H20" s="9"/>
      <c r="I20" s="9"/>
      <c r="J20" s="9"/>
      <c r="K20" s="9"/>
    </row>
    <row r="21" spans="1:11">
      <c r="A21" s="34"/>
      <c r="B21" s="38" t="s">
        <v>600</v>
      </c>
      <c r="C21" s="38"/>
      <c r="D21" s="38"/>
      <c r="E21" s="38"/>
      <c r="F21" s="38"/>
      <c r="G21" s="38"/>
      <c r="H21" s="38"/>
      <c r="I21" s="9"/>
      <c r="J21" s="9"/>
      <c r="K21" s="9"/>
    </row>
    <row r="22" spans="1:11">
      <c r="A22" s="34"/>
      <c r="B22" s="40"/>
      <c r="C22" s="9" t="s">
        <v>386</v>
      </c>
      <c r="D22" s="9"/>
      <c r="E22" s="9"/>
      <c r="F22" s="9" t="s">
        <v>106</v>
      </c>
      <c r="G22" s="9"/>
      <c r="H22" s="9"/>
      <c r="I22" s="9"/>
      <c r="J22" s="9"/>
      <c r="K22" s="9"/>
    </row>
    <row r="23" spans="1:11">
      <c r="A23" s="34"/>
      <c r="B23" s="40"/>
      <c r="C23" s="9"/>
      <c r="D23" s="9"/>
      <c r="E23" s="9"/>
      <c r="F23" s="9"/>
      <c r="G23" s="9"/>
      <c r="H23" s="9"/>
      <c r="I23" s="9"/>
      <c r="J23" s="9"/>
      <c r="K23" s="9"/>
    </row>
    <row r="24" spans="1:11">
      <c r="A24" s="34"/>
      <c r="B24" s="38" t="s">
        <v>451</v>
      </c>
      <c r="C24" s="38"/>
      <c r="D24" s="38"/>
      <c r="E24" s="38"/>
      <c r="F24" s="38"/>
      <c r="G24" s="38"/>
      <c r="H24" s="38"/>
      <c r="I24" s="9"/>
      <c r="J24" s="9"/>
      <c r="K24" s="9"/>
    </row>
    <row r="25" spans="1:11">
      <c r="A25" s="34"/>
      <c r="B25" s="40">
        <v>1</v>
      </c>
      <c r="C25" s="9" t="s">
        <v>519</v>
      </c>
      <c r="D25" s="9"/>
      <c r="E25" s="9"/>
      <c r="F25" s="9" t="s">
        <v>104</v>
      </c>
      <c r="G25" s="9" t="s">
        <v>520</v>
      </c>
      <c r="H25" s="9" t="s">
        <v>315</v>
      </c>
      <c r="I25" s="9"/>
      <c r="J25" s="9"/>
      <c r="K25" s="9"/>
    </row>
    <row r="26" spans="1:11">
      <c r="A26" s="34"/>
      <c r="B26" s="40">
        <v>2</v>
      </c>
      <c r="C26" s="9" t="s">
        <v>387</v>
      </c>
      <c r="D26" s="9"/>
      <c r="E26" s="9"/>
      <c r="F26" s="9" t="s">
        <v>468</v>
      </c>
      <c r="G26" s="9" t="s">
        <v>520</v>
      </c>
      <c r="H26" s="9" t="s">
        <v>470</v>
      </c>
      <c r="I26" s="9"/>
      <c r="J26" s="9"/>
      <c r="K26" s="9"/>
    </row>
    <row r="27" spans="1:11">
      <c r="A27" s="34"/>
      <c r="B27" s="40">
        <v>3</v>
      </c>
      <c r="C27" s="9" t="s">
        <v>601</v>
      </c>
      <c r="D27" s="9"/>
      <c r="E27" s="9"/>
      <c r="F27" s="9" t="s">
        <v>357</v>
      </c>
      <c r="G27" s="9" t="s">
        <v>520</v>
      </c>
      <c r="H27" s="9" t="s">
        <v>471</v>
      </c>
      <c r="I27" s="9"/>
      <c r="J27" s="9"/>
      <c r="K27" s="9"/>
    </row>
    <row r="28" spans="1:11">
      <c r="A28" s="34"/>
      <c r="B28" s="40">
        <v>4</v>
      </c>
      <c r="C28" s="9" t="s">
        <v>553</v>
      </c>
      <c r="D28" s="9"/>
      <c r="E28" s="9"/>
      <c r="F28" s="9" t="s">
        <v>92</v>
      </c>
      <c r="G28" s="9" t="s">
        <v>520</v>
      </c>
      <c r="H28" s="9" t="s">
        <v>66</v>
      </c>
      <c r="I28" s="9"/>
      <c r="J28" s="9"/>
      <c r="K28" s="9"/>
    </row>
    <row r="29" spans="1:11">
      <c r="A29" s="34"/>
      <c r="B29" s="40">
        <v>5</v>
      </c>
      <c r="C29" s="34" t="s">
        <v>661</v>
      </c>
      <c r="F29" s="9" t="s">
        <v>662</v>
      </c>
      <c r="G29" s="117" t="s">
        <v>520</v>
      </c>
      <c r="H29" s="117" t="s">
        <v>694</v>
      </c>
    </row>
    <row r="30" spans="1:11">
      <c r="A30" s="34"/>
      <c r="B30" s="40">
        <v>6</v>
      </c>
      <c r="C30" s="9" t="s">
        <v>136</v>
      </c>
      <c r="D30" s="9"/>
      <c r="E30" s="9"/>
      <c r="F30" s="9" t="s">
        <v>136</v>
      </c>
      <c r="G30" s="9" t="s">
        <v>520</v>
      </c>
      <c r="H30" s="9" t="s">
        <v>690</v>
      </c>
      <c r="I30" s="9"/>
      <c r="J30" s="9"/>
      <c r="K30" s="9"/>
    </row>
    <row r="31" spans="1:11">
      <c r="A31" s="34"/>
      <c r="B31" s="40">
        <v>7</v>
      </c>
      <c r="C31" s="328" t="s">
        <v>693</v>
      </c>
      <c r="D31" s="9"/>
      <c r="E31" s="9"/>
      <c r="F31" s="9" t="s">
        <v>691</v>
      </c>
      <c r="G31" s="9" t="s">
        <v>520</v>
      </c>
      <c r="H31" s="9" t="s">
        <v>692</v>
      </c>
      <c r="I31" s="9"/>
      <c r="J31" s="9"/>
      <c r="K31" s="9"/>
    </row>
    <row r="32" spans="1:11">
      <c r="A32" s="34"/>
      <c r="B32" s="40">
        <v>8</v>
      </c>
      <c r="C32" s="9" t="s">
        <v>455</v>
      </c>
      <c r="D32" s="9"/>
      <c r="E32" s="9"/>
      <c r="F32" s="9" t="s">
        <v>455</v>
      </c>
      <c r="G32" s="9" t="s">
        <v>520</v>
      </c>
      <c r="H32" s="9" t="s">
        <v>240</v>
      </c>
      <c r="I32" s="9"/>
      <c r="J32" s="9"/>
      <c r="K32" s="9"/>
    </row>
    <row r="33" spans="1:11">
      <c r="A33" s="34"/>
      <c r="B33" s="40">
        <v>9</v>
      </c>
      <c r="C33" s="9" t="s">
        <v>28</v>
      </c>
      <c r="D33" s="9"/>
      <c r="E33" s="9"/>
      <c r="F33" s="9" t="s">
        <v>554</v>
      </c>
      <c r="G33" s="117" t="s">
        <v>520</v>
      </c>
      <c r="H33" s="9" t="s">
        <v>278</v>
      </c>
      <c r="I33" s="9"/>
      <c r="J33" s="9"/>
      <c r="K33" s="9"/>
    </row>
    <row r="34" spans="1:11">
      <c r="A34" s="34"/>
      <c r="B34" s="40">
        <v>10</v>
      </c>
      <c r="C34" s="34" t="s">
        <v>670</v>
      </c>
      <c r="F34" s="28" t="s">
        <v>669</v>
      </c>
      <c r="G34" s="117" t="s">
        <v>520</v>
      </c>
      <c r="H34" s="202" t="s">
        <v>695</v>
      </c>
    </row>
    <row r="35" spans="1:11">
      <c r="A35" s="34"/>
      <c r="B35" s="40">
        <v>11</v>
      </c>
      <c r="C35" s="34" t="s">
        <v>672</v>
      </c>
      <c r="F35" s="28" t="s">
        <v>232</v>
      </c>
      <c r="G35" s="117" t="s">
        <v>520</v>
      </c>
      <c r="H35" s="202" t="s">
        <v>696</v>
      </c>
    </row>
    <row r="36" spans="1:11">
      <c r="A36" s="34"/>
      <c r="B36" s="40">
        <v>12</v>
      </c>
      <c r="C36" s="34" t="s">
        <v>679</v>
      </c>
      <c r="F36" s="28" t="s">
        <v>676</v>
      </c>
      <c r="G36" s="117" t="s">
        <v>520</v>
      </c>
      <c r="H36" s="202" t="s">
        <v>697</v>
      </c>
    </row>
    <row r="37" spans="1:11">
      <c r="A37" s="34"/>
      <c r="B37" s="40">
        <v>13</v>
      </c>
      <c r="C37" s="34" t="s">
        <v>680</v>
      </c>
      <c r="F37" s="28" t="s">
        <v>677</v>
      </c>
      <c r="G37" s="117" t="s">
        <v>520</v>
      </c>
      <c r="H37" s="202" t="s">
        <v>698</v>
      </c>
    </row>
    <row r="38" spans="1:11">
      <c r="A38" s="34"/>
      <c r="B38" s="40">
        <v>14</v>
      </c>
      <c r="C38" s="34" t="s">
        <v>674</v>
      </c>
      <c r="F38" s="28" t="s">
        <v>673</v>
      </c>
      <c r="G38" s="117" t="s">
        <v>520</v>
      </c>
      <c r="H38" s="202" t="s">
        <v>699</v>
      </c>
    </row>
    <row r="39" spans="1:11">
      <c r="A39" s="34"/>
      <c r="B39" s="40">
        <v>15</v>
      </c>
      <c r="C39" s="34" t="s">
        <v>675</v>
      </c>
      <c r="F39" s="28" t="s">
        <v>678</v>
      </c>
      <c r="G39" s="117" t="s">
        <v>520</v>
      </c>
      <c r="H39" s="202" t="s">
        <v>700</v>
      </c>
    </row>
  </sheetData>
  <sheetProtection formatCells="0" autoFilter="0"/>
  <printOptions horizontalCentered="1" gridLinesSet="0"/>
  <pageMargins left="0.25" right="0.25" top="0.75" bottom="0.75" header="0.3" footer="0.3"/>
  <pageSetup scale="84" orientation="landscape" r:id="rId1"/>
  <headerFooter>
    <oddHeader>&amp;C&amp;A</oddHeader>
    <oddFooter>&amp;L&amp;D &amp;T&amp;CPage &amp;P of &amp;N&amp;R&amp;F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R85"/>
  <sheetViews>
    <sheetView showGridLines="0" topLeftCell="B8" workbookViewId="0">
      <pane xSplit="3" ySplit="3" topLeftCell="E27" activePane="bottomRight" state="frozen"/>
      <selection activeCell="B8" sqref="B8"/>
      <selection pane="topRight" activeCell="E8" sqref="E8"/>
      <selection pane="bottomLeft" activeCell="B11" sqref="B11"/>
      <selection pane="bottomRight" activeCell="C36" sqref="C36"/>
    </sheetView>
  </sheetViews>
  <sheetFormatPr defaultColWidth="11.3984375" defaultRowHeight="15"/>
  <cols>
    <col min="1" max="1" width="29.796875" style="188" customWidth="1"/>
    <col min="2" max="2" width="6" style="28" customWidth="1"/>
    <col min="3" max="3" width="18.09765625" style="28" customWidth="1"/>
    <col min="4" max="4" width="39.5" style="28" customWidth="1"/>
    <col min="5" max="5" width="8.296875" style="28" customWidth="1"/>
    <col min="6" max="6" width="15.09765625" style="28" customWidth="1"/>
    <col min="7" max="7" width="13.59765625" style="28" customWidth="1"/>
    <col min="8" max="8" width="15.69921875" style="28" customWidth="1"/>
    <col min="9" max="17" width="13.59765625" style="28" customWidth="1"/>
    <col min="18" max="18" width="1.69921875" style="28" customWidth="1"/>
    <col min="19" max="258" width="11.3984375" style="28"/>
    <col min="259" max="259" width="12.59765625" style="28" customWidth="1"/>
    <col min="260" max="260" width="14.69921875" style="28" customWidth="1"/>
    <col min="261" max="261" width="39.5" style="28" customWidth="1"/>
    <col min="262" max="273" width="15.59765625" style="28" customWidth="1"/>
    <col min="274" max="514" width="11.3984375" style="28"/>
    <col min="515" max="515" width="12.59765625" style="28" customWidth="1"/>
    <col min="516" max="516" width="14.69921875" style="28" customWidth="1"/>
    <col min="517" max="517" width="39.5" style="28" customWidth="1"/>
    <col min="518" max="529" width="15.59765625" style="28" customWidth="1"/>
    <col min="530" max="770" width="11.3984375" style="28"/>
    <col min="771" max="771" width="12.59765625" style="28" customWidth="1"/>
    <col min="772" max="772" width="14.69921875" style="28" customWidth="1"/>
    <col min="773" max="773" width="39.5" style="28" customWidth="1"/>
    <col min="774" max="785" width="15.59765625" style="28" customWidth="1"/>
    <col min="786" max="1026" width="11.3984375" style="28"/>
    <col min="1027" max="1027" width="12.59765625" style="28" customWidth="1"/>
    <col min="1028" max="1028" width="14.69921875" style="28" customWidth="1"/>
    <col min="1029" max="1029" width="39.5" style="28" customWidth="1"/>
    <col min="1030" max="1041" width="15.59765625" style="28" customWidth="1"/>
    <col min="1042" max="1282" width="11.3984375" style="28"/>
    <col min="1283" max="1283" width="12.59765625" style="28" customWidth="1"/>
    <col min="1284" max="1284" width="14.69921875" style="28" customWidth="1"/>
    <col min="1285" max="1285" width="39.5" style="28" customWidth="1"/>
    <col min="1286" max="1297" width="15.59765625" style="28" customWidth="1"/>
    <col min="1298" max="1538" width="11.3984375" style="28"/>
    <col min="1539" max="1539" width="12.59765625" style="28" customWidth="1"/>
    <col min="1540" max="1540" width="14.69921875" style="28" customWidth="1"/>
    <col min="1541" max="1541" width="39.5" style="28" customWidth="1"/>
    <col min="1542" max="1553" width="15.59765625" style="28" customWidth="1"/>
    <col min="1554" max="1794" width="11.3984375" style="28"/>
    <col min="1795" max="1795" width="12.59765625" style="28" customWidth="1"/>
    <col min="1796" max="1796" width="14.69921875" style="28" customWidth="1"/>
    <col min="1797" max="1797" width="39.5" style="28" customWidth="1"/>
    <col min="1798" max="1809" width="15.59765625" style="28" customWidth="1"/>
    <col min="1810" max="2050" width="11.3984375" style="28"/>
    <col min="2051" max="2051" width="12.59765625" style="28" customWidth="1"/>
    <col min="2052" max="2052" width="14.69921875" style="28" customWidth="1"/>
    <col min="2053" max="2053" width="39.5" style="28" customWidth="1"/>
    <col min="2054" max="2065" width="15.59765625" style="28" customWidth="1"/>
    <col min="2066" max="2306" width="11.3984375" style="28"/>
    <col min="2307" max="2307" width="12.59765625" style="28" customWidth="1"/>
    <col min="2308" max="2308" width="14.69921875" style="28" customWidth="1"/>
    <col min="2309" max="2309" width="39.5" style="28" customWidth="1"/>
    <col min="2310" max="2321" width="15.59765625" style="28" customWidth="1"/>
    <col min="2322" max="2562" width="11.3984375" style="28"/>
    <col min="2563" max="2563" width="12.59765625" style="28" customWidth="1"/>
    <col min="2564" max="2564" width="14.69921875" style="28" customWidth="1"/>
    <col min="2565" max="2565" width="39.5" style="28" customWidth="1"/>
    <col min="2566" max="2577" width="15.59765625" style="28" customWidth="1"/>
    <col min="2578" max="2818" width="11.3984375" style="28"/>
    <col min="2819" max="2819" width="12.59765625" style="28" customWidth="1"/>
    <col min="2820" max="2820" width="14.69921875" style="28" customWidth="1"/>
    <col min="2821" max="2821" width="39.5" style="28" customWidth="1"/>
    <col min="2822" max="2833" width="15.59765625" style="28" customWidth="1"/>
    <col min="2834" max="3074" width="11.3984375" style="28"/>
    <col min="3075" max="3075" width="12.59765625" style="28" customWidth="1"/>
    <col min="3076" max="3076" width="14.69921875" style="28" customWidth="1"/>
    <col min="3077" max="3077" width="39.5" style="28" customWidth="1"/>
    <col min="3078" max="3089" width="15.59765625" style="28" customWidth="1"/>
    <col min="3090" max="3330" width="11.3984375" style="28"/>
    <col min="3331" max="3331" width="12.59765625" style="28" customWidth="1"/>
    <col min="3332" max="3332" width="14.69921875" style="28" customWidth="1"/>
    <col min="3333" max="3333" width="39.5" style="28" customWidth="1"/>
    <col min="3334" max="3345" width="15.59765625" style="28" customWidth="1"/>
    <col min="3346" max="3586" width="11.3984375" style="28"/>
    <col min="3587" max="3587" width="12.59765625" style="28" customWidth="1"/>
    <col min="3588" max="3588" width="14.69921875" style="28" customWidth="1"/>
    <col min="3589" max="3589" width="39.5" style="28" customWidth="1"/>
    <col min="3590" max="3601" width="15.59765625" style="28" customWidth="1"/>
    <col min="3602" max="3842" width="11.3984375" style="28"/>
    <col min="3843" max="3843" width="12.59765625" style="28" customWidth="1"/>
    <col min="3844" max="3844" width="14.69921875" style="28" customWidth="1"/>
    <col min="3845" max="3845" width="39.5" style="28" customWidth="1"/>
    <col min="3846" max="3857" width="15.59765625" style="28" customWidth="1"/>
    <col min="3858" max="4098" width="11.3984375" style="28"/>
    <col min="4099" max="4099" width="12.59765625" style="28" customWidth="1"/>
    <col min="4100" max="4100" width="14.69921875" style="28" customWidth="1"/>
    <col min="4101" max="4101" width="39.5" style="28" customWidth="1"/>
    <col min="4102" max="4113" width="15.59765625" style="28" customWidth="1"/>
    <col min="4114" max="4354" width="11.3984375" style="28"/>
    <col min="4355" max="4355" width="12.59765625" style="28" customWidth="1"/>
    <col min="4356" max="4356" width="14.69921875" style="28" customWidth="1"/>
    <col min="4357" max="4357" width="39.5" style="28" customWidth="1"/>
    <col min="4358" max="4369" width="15.59765625" style="28" customWidth="1"/>
    <col min="4370" max="4610" width="11.3984375" style="28"/>
    <col min="4611" max="4611" width="12.59765625" style="28" customWidth="1"/>
    <col min="4612" max="4612" width="14.69921875" style="28" customWidth="1"/>
    <col min="4613" max="4613" width="39.5" style="28" customWidth="1"/>
    <col min="4614" max="4625" width="15.59765625" style="28" customWidth="1"/>
    <col min="4626" max="4866" width="11.3984375" style="28"/>
    <col min="4867" max="4867" width="12.59765625" style="28" customWidth="1"/>
    <col min="4868" max="4868" width="14.69921875" style="28" customWidth="1"/>
    <col min="4869" max="4869" width="39.5" style="28" customWidth="1"/>
    <col min="4870" max="4881" width="15.59765625" style="28" customWidth="1"/>
    <col min="4882" max="5122" width="11.3984375" style="28"/>
    <col min="5123" max="5123" width="12.59765625" style="28" customWidth="1"/>
    <col min="5124" max="5124" width="14.69921875" style="28" customWidth="1"/>
    <col min="5125" max="5125" width="39.5" style="28" customWidth="1"/>
    <col min="5126" max="5137" width="15.59765625" style="28" customWidth="1"/>
    <col min="5138" max="5378" width="11.3984375" style="28"/>
    <col min="5379" max="5379" width="12.59765625" style="28" customWidth="1"/>
    <col min="5380" max="5380" width="14.69921875" style="28" customWidth="1"/>
    <col min="5381" max="5381" width="39.5" style="28" customWidth="1"/>
    <col min="5382" max="5393" width="15.59765625" style="28" customWidth="1"/>
    <col min="5394" max="5634" width="11.3984375" style="28"/>
    <col min="5635" max="5635" width="12.59765625" style="28" customWidth="1"/>
    <col min="5636" max="5636" width="14.69921875" style="28" customWidth="1"/>
    <col min="5637" max="5637" width="39.5" style="28" customWidth="1"/>
    <col min="5638" max="5649" width="15.59765625" style="28" customWidth="1"/>
    <col min="5650" max="5890" width="11.3984375" style="28"/>
    <col min="5891" max="5891" width="12.59765625" style="28" customWidth="1"/>
    <col min="5892" max="5892" width="14.69921875" style="28" customWidth="1"/>
    <col min="5893" max="5893" width="39.5" style="28" customWidth="1"/>
    <col min="5894" max="5905" width="15.59765625" style="28" customWidth="1"/>
    <col min="5906" max="6146" width="11.3984375" style="28"/>
    <col min="6147" max="6147" width="12.59765625" style="28" customWidth="1"/>
    <col min="6148" max="6148" width="14.69921875" style="28" customWidth="1"/>
    <col min="6149" max="6149" width="39.5" style="28" customWidth="1"/>
    <col min="6150" max="6161" width="15.59765625" style="28" customWidth="1"/>
    <col min="6162" max="6402" width="11.3984375" style="28"/>
    <col min="6403" max="6403" width="12.59765625" style="28" customWidth="1"/>
    <col min="6404" max="6404" width="14.69921875" style="28" customWidth="1"/>
    <col min="6405" max="6405" width="39.5" style="28" customWidth="1"/>
    <col min="6406" max="6417" width="15.59765625" style="28" customWidth="1"/>
    <col min="6418" max="6658" width="11.3984375" style="28"/>
    <col min="6659" max="6659" width="12.59765625" style="28" customWidth="1"/>
    <col min="6660" max="6660" width="14.69921875" style="28" customWidth="1"/>
    <col min="6661" max="6661" width="39.5" style="28" customWidth="1"/>
    <col min="6662" max="6673" width="15.59765625" style="28" customWidth="1"/>
    <col min="6674" max="6914" width="11.3984375" style="28"/>
    <col min="6915" max="6915" width="12.59765625" style="28" customWidth="1"/>
    <col min="6916" max="6916" width="14.69921875" style="28" customWidth="1"/>
    <col min="6917" max="6917" width="39.5" style="28" customWidth="1"/>
    <col min="6918" max="6929" width="15.59765625" style="28" customWidth="1"/>
    <col min="6930" max="7170" width="11.3984375" style="28"/>
    <col min="7171" max="7171" width="12.59765625" style="28" customWidth="1"/>
    <col min="7172" max="7172" width="14.69921875" style="28" customWidth="1"/>
    <col min="7173" max="7173" width="39.5" style="28" customWidth="1"/>
    <col min="7174" max="7185" width="15.59765625" style="28" customWidth="1"/>
    <col min="7186" max="7426" width="11.3984375" style="28"/>
    <col min="7427" max="7427" width="12.59765625" style="28" customWidth="1"/>
    <col min="7428" max="7428" width="14.69921875" style="28" customWidth="1"/>
    <col min="7429" max="7429" width="39.5" style="28" customWidth="1"/>
    <col min="7430" max="7441" width="15.59765625" style="28" customWidth="1"/>
    <col min="7442" max="7682" width="11.3984375" style="28"/>
    <col min="7683" max="7683" width="12.59765625" style="28" customWidth="1"/>
    <col min="7684" max="7684" width="14.69921875" style="28" customWidth="1"/>
    <col min="7685" max="7685" width="39.5" style="28" customWidth="1"/>
    <col min="7686" max="7697" width="15.59765625" style="28" customWidth="1"/>
    <col min="7698" max="7938" width="11.3984375" style="28"/>
    <col min="7939" max="7939" width="12.59765625" style="28" customWidth="1"/>
    <col min="7940" max="7940" width="14.69921875" style="28" customWidth="1"/>
    <col min="7941" max="7941" width="39.5" style="28" customWidth="1"/>
    <col min="7942" max="7953" width="15.59765625" style="28" customWidth="1"/>
    <col min="7954" max="8194" width="11.3984375" style="28"/>
    <col min="8195" max="8195" width="12.59765625" style="28" customWidth="1"/>
    <col min="8196" max="8196" width="14.69921875" style="28" customWidth="1"/>
    <col min="8197" max="8197" width="39.5" style="28" customWidth="1"/>
    <col min="8198" max="8209" width="15.59765625" style="28" customWidth="1"/>
    <col min="8210" max="8450" width="11.3984375" style="28"/>
    <col min="8451" max="8451" width="12.59765625" style="28" customWidth="1"/>
    <col min="8452" max="8452" width="14.69921875" style="28" customWidth="1"/>
    <col min="8453" max="8453" width="39.5" style="28" customWidth="1"/>
    <col min="8454" max="8465" width="15.59765625" style="28" customWidth="1"/>
    <col min="8466" max="8706" width="11.3984375" style="28"/>
    <col min="8707" max="8707" width="12.59765625" style="28" customWidth="1"/>
    <col min="8708" max="8708" width="14.69921875" style="28" customWidth="1"/>
    <col min="8709" max="8709" width="39.5" style="28" customWidth="1"/>
    <col min="8710" max="8721" width="15.59765625" style="28" customWidth="1"/>
    <col min="8722" max="8962" width="11.3984375" style="28"/>
    <col min="8963" max="8963" width="12.59765625" style="28" customWidth="1"/>
    <col min="8964" max="8964" width="14.69921875" style="28" customWidth="1"/>
    <col min="8965" max="8965" width="39.5" style="28" customWidth="1"/>
    <col min="8966" max="8977" width="15.59765625" style="28" customWidth="1"/>
    <col min="8978" max="9218" width="11.3984375" style="28"/>
    <col min="9219" max="9219" width="12.59765625" style="28" customWidth="1"/>
    <col min="9220" max="9220" width="14.69921875" style="28" customWidth="1"/>
    <col min="9221" max="9221" width="39.5" style="28" customWidth="1"/>
    <col min="9222" max="9233" width="15.59765625" style="28" customWidth="1"/>
    <col min="9234" max="9474" width="11.3984375" style="28"/>
    <col min="9475" max="9475" width="12.59765625" style="28" customWidth="1"/>
    <col min="9476" max="9476" width="14.69921875" style="28" customWidth="1"/>
    <col min="9477" max="9477" width="39.5" style="28" customWidth="1"/>
    <col min="9478" max="9489" width="15.59765625" style="28" customWidth="1"/>
    <col min="9490" max="9730" width="11.3984375" style="28"/>
    <col min="9731" max="9731" width="12.59765625" style="28" customWidth="1"/>
    <col min="9732" max="9732" width="14.69921875" style="28" customWidth="1"/>
    <col min="9733" max="9733" width="39.5" style="28" customWidth="1"/>
    <col min="9734" max="9745" width="15.59765625" style="28" customWidth="1"/>
    <col min="9746" max="9986" width="11.3984375" style="28"/>
    <col min="9987" max="9987" width="12.59765625" style="28" customWidth="1"/>
    <col min="9988" max="9988" width="14.69921875" style="28" customWidth="1"/>
    <col min="9989" max="9989" width="39.5" style="28" customWidth="1"/>
    <col min="9990" max="10001" width="15.59765625" style="28" customWidth="1"/>
    <col min="10002" max="10242" width="11.3984375" style="28"/>
    <col min="10243" max="10243" width="12.59765625" style="28" customWidth="1"/>
    <col min="10244" max="10244" width="14.69921875" style="28" customWidth="1"/>
    <col min="10245" max="10245" width="39.5" style="28" customWidth="1"/>
    <col min="10246" max="10257" width="15.59765625" style="28" customWidth="1"/>
    <col min="10258" max="10498" width="11.3984375" style="28"/>
    <col min="10499" max="10499" width="12.59765625" style="28" customWidth="1"/>
    <col min="10500" max="10500" width="14.69921875" style="28" customWidth="1"/>
    <col min="10501" max="10501" width="39.5" style="28" customWidth="1"/>
    <col min="10502" max="10513" width="15.59765625" style="28" customWidth="1"/>
    <col min="10514" max="10754" width="11.3984375" style="28"/>
    <col min="10755" max="10755" width="12.59765625" style="28" customWidth="1"/>
    <col min="10756" max="10756" width="14.69921875" style="28" customWidth="1"/>
    <col min="10757" max="10757" width="39.5" style="28" customWidth="1"/>
    <col min="10758" max="10769" width="15.59765625" style="28" customWidth="1"/>
    <col min="10770" max="11010" width="11.3984375" style="28"/>
    <col min="11011" max="11011" width="12.59765625" style="28" customWidth="1"/>
    <col min="11012" max="11012" width="14.69921875" style="28" customWidth="1"/>
    <col min="11013" max="11013" width="39.5" style="28" customWidth="1"/>
    <col min="11014" max="11025" width="15.59765625" style="28" customWidth="1"/>
    <col min="11026" max="11266" width="11.3984375" style="28"/>
    <col min="11267" max="11267" width="12.59765625" style="28" customWidth="1"/>
    <col min="11268" max="11268" width="14.69921875" style="28" customWidth="1"/>
    <col min="11269" max="11269" width="39.5" style="28" customWidth="1"/>
    <col min="11270" max="11281" width="15.59765625" style="28" customWidth="1"/>
    <col min="11282" max="11522" width="11.3984375" style="28"/>
    <col min="11523" max="11523" width="12.59765625" style="28" customWidth="1"/>
    <col min="11524" max="11524" width="14.69921875" style="28" customWidth="1"/>
    <col min="11525" max="11525" width="39.5" style="28" customWidth="1"/>
    <col min="11526" max="11537" width="15.59765625" style="28" customWidth="1"/>
    <col min="11538" max="11778" width="11.3984375" style="28"/>
    <col min="11779" max="11779" width="12.59765625" style="28" customWidth="1"/>
    <col min="11780" max="11780" width="14.69921875" style="28" customWidth="1"/>
    <col min="11781" max="11781" width="39.5" style="28" customWidth="1"/>
    <col min="11782" max="11793" width="15.59765625" style="28" customWidth="1"/>
    <col min="11794" max="12034" width="11.3984375" style="28"/>
    <col min="12035" max="12035" width="12.59765625" style="28" customWidth="1"/>
    <col min="12036" max="12036" width="14.69921875" style="28" customWidth="1"/>
    <col min="12037" max="12037" width="39.5" style="28" customWidth="1"/>
    <col min="12038" max="12049" width="15.59765625" style="28" customWidth="1"/>
    <col min="12050" max="12290" width="11.3984375" style="28"/>
    <col min="12291" max="12291" width="12.59765625" style="28" customWidth="1"/>
    <col min="12292" max="12292" width="14.69921875" style="28" customWidth="1"/>
    <col min="12293" max="12293" width="39.5" style="28" customWidth="1"/>
    <col min="12294" max="12305" width="15.59765625" style="28" customWidth="1"/>
    <col min="12306" max="12546" width="11.3984375" style="28"/>
    <col min="12547" max="12547" width="12.59765625" style="28" customWidth="1"/>
    <col min="12548" max="12548" width="14.69921875" style="28" customWidth="1"/>
    <col min="12549" max="12549" width="39.5" style="28" customWidth="1"/>
    <col min="12550" max="12561" width="15.59765625" style="28" customWidth="1"/>
    <col min="12562" max="12802" width="11.3984375" style="28"/>
    <col min="12803" max="12803" width="12.59765625" style="28" customWidth="1"/>
    <col min="12804" max="12804" width="14.69921875" style="28" customWidth="1"/>
    <col min="12805" max="12805" width="39.5" style="28" customWidth="1"/>
    <col min="12806" max="12817" width="15.59765625" style="28" customWidth="1"/>
    <col min="12818" max="13058" width="11.3984375" style="28"/>
    <col min="13059" max="13059" width="12.59765625" style="28" customWidth="1"/>
    <col min="13060" max="13060" width="14.69921875" style="28" customWidth="1"/>
    <col min="13061" max="13061" width="39.5" style="28" customWidth="1"/>
    <col min="13062" max="13073" width="15.59765625" style="28" customWidth="1"/>
    <col min="13074" max="13314" width="11.3984375" style="28"/>
    <col min="13315" max="13315" width="12.59765625" style="28" customWidth="1"/>
    <col min="13316" max="13316" width="14.69921875" style="28" customWidth="1"/>
    <col min="13317" max="13317" width="39.5" style="28" customWidth="1"/>
    <col min="13318" max="13329" width="15.59765625" style="28" customWidth="1"/>
    <col min="13330" max="13570" width="11.3984375" style="28"/>
    <col min="13571" max="13571" width="12.59765625" style="28" customWidth="1"/>
    <col min="13572" max="13572" width="14.69921875" style="28" customWidth="1"/>
    <col min="13573" max="13573" width="39.5" style="28" customWidth="1"/>
    <col min="13574" max="13585" width="15.59765625" style="28" customWidth="1"/>
    <col min="13586" max="13826" width="11.3984375" style="28"/>
    <col min="13827" max="13827" width="12.59765625" style="28" customWidth="1"/>
    <col min="13828" max="13828" width="14.69921875" style="28" customWidth="1"/>
    <col min="13829" max="13829" width="39.5" style="28" customWidth="1"/>
    <col min="13830" max="13841" width="15.59765625" style="28" customWidth="1"/>
    <col min="13842" max="14082" width="11.3984375" style="28"/>
    <col min="14083" max="14083" width="12.59765625" style="28" customWidth="1"/>
    <col min="14084" max="14084" width="14.69921875" style="28" customWidth="1"/>
    <col min="14085" max="14085" width="39.5" style="28" customWidth="1"/>
    <col min="14086" max="14097" width="15.59765625" style="28" customWidth="1"/>
    <col min="14098" max="14338" width="11.3984375" style="28"/>
    <col min="14339" max="14339" width="12.59765625" style="28" customWidth="1"/>
    <col min="14340" max="14340" width="14.69921875" style="28" customWidth="1"/>
    <col min="14341" max="14341" width="39.5" style="28" customWidth="1"/>
    <col min="14342" max="14353" width="15.59765625" style="28" customWidth="1"/>
    <col min="14354" max="14594" width="11.3984375" style="28"/>
    <col min="14595" max="14595" width="12.59765625" style="28" customWidth="1"/>
    <col min="14596" max="14596" width="14.69921875" style="28" customWidth="1"/>
    <col min="14597" max="14597" width="39.5" style="28" customWidth="1"/>
    <col min="14598" max="14609" width="15.59765625" style="28" customWidth="1"/>
    <col min="14610" max="14850" width="11.3984375" style="28"/>
    <col min="14851" max="14851" width="12.59765625" style="28" customWidth="1"/>
    <col min="14852" max="14852" width="14.69921875" style="28" customWidth="1"/>
    <col min="14853" max="14853" width="39.5" style="28" customWidth="1"/>
    <col min="14854" max="14865" width="15.59765625" style="28" customWidth="1"/>
    <col min="14866" max="15106" width="11.3984375" style="28"/>
    <col min="15107" max="15107" width="12.59765625" style="28" customWidth="1"/>
    <col min="15108" max="15108" width="14.69921875" style="28" customWidth="1"/>
    <col min="15109" max="15109" width="39.5" style="28" customWidth="1"/>
    <col min="15110" max="15121" width="15.59765625" style="28" customWidth="1"/>
    <col min="15122" max="15362" width="11.3984375" style="28"/>
    <col min="15363" max="15363" width="12.59765625" style="28" customWidth="1"/>
    <col min="15364" max="15364" width="14.69921875" style="28" customWidth="1"/>
    <col min="15365" max="15365" width="39.5" style="28" customWidth="1"/>
    <col min="15366" max="15377" width="15.59765625" style="28" customWidth="1"/>
    <col min="15378" max="15618" width="11.3984375" style="28"/>
    <col min="15619" max="15619" width="12.59765625" style="28" customWidth="1"/>
    <col min="15620" max="15620" width="14.69921875" style="28" customWidth="1"/>
    <col min="15621" max="15621" width="39.5" style="28" customWidth="1"/>
    <col min="15622" max="15633" width="15.59765625" style="28" customWidth="1"/>
    <col min="15634" max="15874" width="11.3984375" style="28"/>
    <col min="15875" max="15875" width="12.59765625" style="28" customWidth="1"/>
    <col min="15876" max="15876" width="14.69921875" style="28" customWidth="1"/>
    <col min="15877" max="15877" width="39.5" style="28" customWidth="1"/>
    <col min="15878" max="15889" width="15.59765625" style="28" customWidth="1"/>
    <col min="15890" max="16130" width="11.3984375" style="28"/>
    <col min="16131" max="16131" width="12.59765625" style="28" customWidth="1"/>
    <col min="16132" max="16132" width="14.69921875" style="28" customWidth="1"/>
    <col min="16133" max="16133" width="39.5" style="28" customWidth="1"/>
    <col min="16134" max="16145" width="15.59765625" style="28" customWidth="1"/>
    <col min="16146" max="16384" width="11.3984375" style="28"/>
  </cols>
  <sheetData>
    <row r="1" spans="1:18" ht="16.8">
      <c r="A1" s="5" t="s">
        <v>499</v>
      </c>
      <c r="B1" s="5"/>
      <c r="C1" s="5" t="s">
        <v>265</v>
      </c>
      <c r="D1" s="5" t="s">
        <v>418</v>
      </c>
      <c r="E1" s="5"/>
      <c r="F1" s="5" t="s">
        <v>53</v>
      </c>
      <c r="G1" s="5" t="s">
        <v>340</v>
      </c>
      <c r="H1" s="5" t="s">
        <v>419</v>
      </c>
      <c r="I1" s="5" t="s">
        <v>13</v>
      </c>
      <c r="J1" s="5" t="s">
        <v>226</v>
      </c>
      <c r="K1" s="5" t="s">
        <v>341</v>
      </c>
      <c r="L1" s="5" t="s">
        <v>500</v>
      </c>
      <c r="M1" s="5" t="s">
        <v>14</v>
      </c>
      <c r="N1" s="5" t="s">
        <v>172</v>
      </c>
      <c r="O1" s="5" t="s">
        <v>582</v>
      </c>
      <c r="P1" s="5" t="s">
        <v>87</v>
      </c>
      <c r="Q1" s="5" t="s">
        <v>266</v>
      </c>
    </row>
    <row r="2" spans="1:18" ht="16.8">
      <c r="A2" s="5" t="s">
        <v>314</v>
      </c>
      <c r="B2" s="5"/>
      <c r="C2" s="5" t="s">
        <v>314</v>
      </c>
      <c r="D2" s="5" t="s">
        <v>314</v>
      </c>
      <c r="E2" s="5"/>
      <c r="F2" s="5" t="s">
        <v>314</v>
      </c>
      <c r="G2" s="5" t="s">
        <v>314</v>
      </c>
      <c r="H2" s="5" t="s">
        <v>314</v>
      </c>
      <c r="I2" s="5" t="s">
        <v>314</v>
      </c>
      <c r="J2" s="5" t="s">
        <v>314</v>
      </c>
      <c r="K2" s="5" t="s">
        <v>314</v>
      </c>
      <c r="L2" s="5" t="s">
        <v>314</v>
      </c>
      <c r="M2" s="5" t="s">
        <v>314</v>
      </c>
      <c r="N2" s="5" t="s">
        <v>314</v>
      </c>
      <c r="O2" s="5" t="s">
        <v>314</v>
      </c>
      <c r="P2" s="5" t="s">
        <v>314</v>
      </c>
      <c r="Q2" s="5" t="s">
        <v>314</v>
      </c>
    </row>
    <row r="3" spans="1:18" ht="16.8">
      <c r="A3" s="5">
        <v>25</v>
      </c>
      <c r="B3" s="5"/>
      <c r="C3" s="5">
        <v>25</v>
      </c>
      <c r="D3" s="5">
        <v>50</v>
      </c>
      <c r="E3" s="5"/>
      <c r="F3" s="5">
        <v>25</v>
      </c>
      <c r="G3" s="5">
        <v>25</v>
      </c>
      <c r="H3" s="5">
        <v>25</v>
      </c>
      <c r="I3" s="5">
        <v>25</v>
      </c>
      <c r="J3" s="5">
        <v>25</v>
      </c>
      <c r="K3" s="5">
        <v>25</v>
      </c>
      <c r="L3" s="5">
        <v>25</v>
      </c>
      <c r="M3" s="5">
        <v>25</v>
      </c>
      <c r="N3" s="5">
        <v>25</v>
      </c>
      <c r="O3" s="5">
        <v>25</v>
      </c>
      <c r="P3" s="5">
        <v>25</v>
      </c>
      <c r="Q3" s="5">
        <v>25</v>
      </c>
    </row>
    <row r="4" spans="1:18" ht="16.8">
      <c r="A4" s="5"/>
      <c r="B4" s="137"/>
      <c r="C4" s="137"/>
      <c r="D4" s="117"/>
      <c r="E4" s="117"/>
      <c r="F4" s="9" t="b">
        <f>Mthly_Fcst_Utility!M30</f>
        <v>1</v>
      </c>
      <c r="G4" s="9" t="b">
        <f>Mthly_Fcst_Utility!N30</f>
        <v>1</v>
      </c>
      <c r="H4" s="9" t="b">
        <f>Mthly_Fcst_Utility!O30</f>
        <v>1</v>
      </c>
      <c r="I4" s="9" t="b">
        <f>Mthly_Fcst_Utility!P30</f>
        <v>1</v>
      </c>
      <c r="J4" s="9" t="b">
        <f>Mthly_Fcst_Utility!Q30</f>
        <v>1</v>
      </c>
      <c r="K4" s="9" t="b">
        <f>Mthly_Fcst_Utility!R30</f>
        <v>1</v>
      </c>
      <c r="L4" s="9" t="b">
        <f>Mthly_Fcst_Utility!S30</f>
        <v>1</v>
      </c>
      <c r="M4" s="9" t="b">
        <f>Mthly_Fcst_Utility!T30</f>
        <v>1</v>
      </c>
      <c r="N4" s="9" t="b">
        <f>Mthly_Fcst_Utility!U30</f>
        <v>0</v>
      </c>
      <c r="O4" s="9" t="b">
        <f>Mthly_Fcst_Utility!V30</f>
        <v>0</v>
      </c>
      <c r="P4" s="9" t="b">
        <f>Mthly_Fcst_Utility!W30</f>
        <v>0</v>
      </c>
      <c r="Q4" s="9" t="b">
        <f>Mthly_Fcst_Utility!X30</f>
        <v>0</v>
      </c>
    </row>
    <row r="5" spans="1:18" ht="16.8">
      <c r="A5" s="5"/>
      <c r="B5" s="137"/>
      <c r="C5" s="137"/>
      <c r="D5" s="117"/>
      <c r="E5" s="117"/>
      <c r="F5" s="9"/>
      <c r="G5" s="9"/>
      <c r="H5" s="9"/>
      <c r="I5" s="9"/>
      <c r="J5" s="9"/>
      <c r="K5" s="9"/>
      <c r="L5" s="9"/>
      <c r="M5" s="9"/>
      <c r="N5" s="9"/>
      <c r="O5" s="9"/>
      <c r="P5" s="9"/>
      <c r="Q5" s="9"/>
    </row>
    <row r="6" spans="1:18" ht="17.399999999999999" thickBot="1">
      <c r="A6" s="5"/>
      <c r="B6" s="137"/>
      <c r="C6" s="137"/>
      <c r="D6" s="117"/>
      <c r="E6" s="117"/>
      <c r="F6" s="9" t="s">
        <v>855</v>
      </c>
      <c r="G6" s="9" t="s">
        <v>856</v>
      </c>
      <c r="H6" s="9" t="s">
        <v>857</v>
      </c>
      <c r="I6" s="9" t="s">
        <v>858</v>
      </c>
      <c r="J6" s="9" t="s">
        <v>859</v>
      </c>
      <c r="K6" s="9" t="s">
        <v>860</v>
      </c>
      <c r="L6" s="9" t="s">
        <v>861</v>
      </c>
      <c r="M6" s="9" t="s">
        <v>862</v>
      </c>
      <c r="N6" s="9" t="s">
        <v>863</v>
      </c>
      <c r="O6" s="9" t="s">
        <v>864</v>
      </c>
      <c r="P6" s="9" t="s">
        <v>865</v>
      </c>
      <c r="Q6" s="9" t="s">
        <v>866</v>
      </c>
    </row>
    <row r="7" spans="1:18" ht="18" thickTop="1" thickBot="1">
      <c r="A7" s="5"/>
      <c r="B7" s="143"/>
      <c r="C7" s="55"/>
      <c r="D7" s="55"/>
      <c r="E7" s="55"/>
      <c r="F7" s="97"/>
      <c r="G7" s="97"/>
      <c r="H7" s="97"/>
      <c r="I7" s="97"/>
      <c r="J7" s="97"/>
      <c r="K7" s="97"/>
      <c r="L7" s="97"/>
      <c r="M7" s="97"/>
      <c r="N7" s="97"/>
      <c r="O7" s="97"/>
      <c r="P7" s="97"/>
      <c r="Q7" s="97"/>
    </row>
    <row r="8" spans="1:18" ht="17.399999999999999" thickTop="1">
      <c r="A8" s="5"/>
      <c r="B8" s="137"/>
      <c r="C8" s="137"/>
      <c r="D8" s="202"/>
      <c r="E8" s="202"/>
      <c r="F8" s="62"/>
      <c r="G8" s="62"/>
      <c r="H8" s="62"/>
      <c r="I8" s="62"/>
      <c r="J8" s="62"/>
      <c r="K8" s="62"/>
      <c r="L8" s="62"/>
      <c r="M8" s="62"/>
      <c r="N8" s="62"/>
      <c r="O8" s="62"/>
      <c r="P8" s="62"/>
      <c r="Q8" s="62"/>
    </row>
    <row r="9" spans="1:18" ht="32.4">
      <c r="A9" s="5"/>
      <c r="B9" s="132"/>
      <c r="C9" s="30" t="s">
        <v>778</v>
      </c>
      <c r="D9" s="30"/>
      <c r="E9" s="30"/>
      <c r="F9" s="30"/>
      <c r="G9" s="30"/>
      <c r="H9" s="30"/>
      <c r="I9" s="30"/>
      <c r="J9" s="30"/>
      <c r="K9" s="30"/>
      <c r="L9" s="30"/>
      <c r="M9" s="30"/>
      <c r="N9" s="30"/>
      <c r="O9" s="30"/>
      <c r="P9" s="30"/>
      <c r="Q9" s="30"/>
      <c r="R9" s="30"/>
    </row>
    <row r="10" spans="1:18" ht="16.8">
      <c r="A10" s="5"/>
      <c r="B10" s="108"/>
      <c r="C10" s="108"/>
      <c r="D10" s="155"/>
      <c r="E10" s="155"/>
      <c r="F10" s="36" t="str">
        <f>Mthly_Fcst_Utility!M48</f>
        <v>July</v>
      </c>
      <c r="G10" s="36" t="str">
        <f>Mthly_Fcst_Utility!N48</f>
        <v>August</v>
      </c>
      <c r="H10" s="36" t="str">
        <f>Mthly_Fcst_Utility!O48</f>
        <v>September</v>
      </c>
      <c r="I10" s="36" t="str">
        <f>Mthly_Fcst_Utility!P48</f>
        <v>October</v>
      </c>
      <c r="J10" s="36" t="str">
        <f>Mthly_Fcst_Utility!Q48</f>
        <v>November</v>
      </c>
      <c r="K10" s="36" t="str">
        <f>Mthly_Fcst_Utility!R48</f>
        <v>December</v>
      </c>
      <c r="L10" s="36" t="str">
        <f>Mthly_Fcst_Utility!S48</f>
        <v>January</v>
      </c>
      <c r="M10" s="36" t="str">
        <f>Mthly_Fcst_Utility!T48</f>
        <v>February</v>
      </c>
      <c r="N10" s="36" t="str">
        <f>Mthly_Fcst_Utility!U48</f>
        <v>March</v>
      </c>
      <c r="O10" s="36" t="str">
        <f>Mthly_Fcst_Utility!V48</f>
        <v>April</v>
      </c>
      <c r="P10" s="36" t="str">
        <f>Mthly_Fcst_Utility!W48</f>
        <v>May</v>
      </c>
      <c r="Q10" s="36" t="str">
        <f>Mthly_Fcst_Utility!X48</f>
        <v>June</v>
      </c>
      <c r="R10" s="36"/>
    </row>
    <row r="11" spans="1:18" ht="19.2">
      <c r="A11" s="5"/>
      <c r="B11" s="108"/>
      <c r="C11" s="108"/>
      <c r="D11" s="19" t="s">
        <v>777</v>
      </c>
      <c r="E11" s="19"/>
      <c r="F11" s="36"/>
      <c r="G11" s="36"/>
      <c r="H11" s="36"/>
      <c r="I11" s="36"/>
      <c r="J11" s="36" t="s">
        <v>130</v>
      </c>
      <c r="K11" s="36"/>
      <c r="L11" s="19"/>
      <c r="M11" s="19"/>
      <c r="N11" s="19"/>
      <c r="O11" s="19"/>
      <c r="P11" s="19"/>
      <c r="Q11" s="19"/>
      <c r="R11" s="19"/>
    </row>
    <row r="12" spans="1:18" ht="19.8" thickBot="1">
      <c r="A12" s="5"/>
      <c r="B12" s="108"/>
      <c r="C12" s="19" t="s">
        <v>705</v>
      </c>
      <c r="D12" s="19" t="s">
        <v>227</v>
      </c>
      <c r="E12" s="19"/>
      <c r="F12" s="36" t="s">
        <v>452</v>
      </c>
      <c r="G12" s="36"/>
      <c r="H12" s="36" t="s">
        <v>54</v>
      </c>
      <c r="I12" s="36"/>
      <c r="J12" s="36" t="s">
        <v>583</v>
      </c>
      <c r="K12" s="36"/>
    </row>
    <row r="13" spans="1:18" ht="18" thickTop="1" thickBot="1">
      <c r="A13" s="5" t="s">
        <v>847</v>
      </c>
      <c r="B13" s="108"/>
      <c r="C13" s="55" t="s">
        <v>369</v>
      </c>
      <c r="D13" s="40" t="s">
        <v>131</v>
      </c>
      <c r="E13" s="40"/>
      <c r="F13" s="55" t="str">
        <f>A15</f>
        <v>__S_KeyIP</v>
      </c>
      <c r="G13" s="64"/>
      <c r="H13" s="55" t="str">
        <f>A16</f>
        <v>__S_KeyOP</v>
      </c>
      <c r="I13" s="64"/>
      <c r="J13" s="55" t="str">
        <f>A17</f>
        <v>__S_KeyOth</v>
      </c>
      <c r="K13" s="64"/>
    </row>
    <row r="14" spans="1:18" ht="18" thickTop="1" thickBot="1">
      <c r="A14" s="5"/>
      <c r="B14" s="108"/>
      <c r="C14" s="40" t="s">
        <v>499</v>
      </c>
      <c r="D14" s="40" t="s">
        <v>418</v>
      </c>
      <c r="E14" s="40"/>
      <c r="F14" s="96"/>
      <c r="G14" s="106"/>
      <c r="H14" s="96"/>
      <c r="I14" s="106"/>
      <c r="J14" s="96"/>
      <c r="K14" s="62"/>
      <c r="L14" s="62"/>
    </row>
    <row r="15" spans="1:18" ht="18" thickTop="1" thickBot="1">
      <c r="A15" s="5" t="str">
        <f>"__"&amp;C15</f>
        <v>__S_KeyIP</v>
      </c>
      <c r="B15" s="108"/>
      <c r="C15" s="55" t="s">
        <v>760</v>
      </c>
      <c r="D15" s="55" t="s">
        <v>779</v>
      </c>
      <c r="E15" s="55"/>
      <c r="F15" s="97">
        <v>0</v>
      </c>
      <c r="G15" s="97">
        <f t="shared" ref="G15:M15" si="0">F15</f>
        <v>0</v>
      </c>
      <c r="H15" s="97">
        <f t="shared" si="0"/>
        <v>0</v>
      </c>
      <c r="I15" s="97">
        <f t="shared" si="0"/>
        <v>0</v>
      </c>
      <c r="J15" s="97">
        <f t="shared" si="0"/>
        <v>0</v>
      </c>
      <c r="K15" s="97">
        <f t="shared" si="0"/>
        <v>0</v>
      </c>
      <c r="L15" s="97">
        <f t="shared" si="0"/>
        <v>0</v>
      </c>
      <c r="M15" s="97">
        <f t="shared" si="0"/>
        <v>0</v>
      </c>
      <c r="N15" s="97">
        <f t="shared" ref="N15:O17" si="1">M15</f>
        <v>0</v>
      </c>
      <c r="O15" s="97">
        <f t="shared" si="1"/>
        <v>0</v>
      </c>
      <c r="P15" s="97">
        <f t="shared" ref="P15:P17" si="2">O15</f>
        <v>0</v>
      </c>
      <c r="Q15" s="97">
        <f t="shared" ref="Q15:Q17" si="3">P15</f>
        <v>0</v>
      </c>
    </row>
    <row r="16" spans="1:18" ht="18" thickTop="1" thickBot="1">
      <c r="A16" s="5" t="str">
        <f t="shared" ref="A16:A17" si="4">"__"&amp;C16</f>
        <v>__S_KeyOP</v>
      </c>
      <c r="B16" s="108"/>
      <c r="C16" s="55" t="s">
        <v>761</v>
      </c>
      <c r="D16" s="55" t="s">
        <v>780</v>
      </c>
      <c r="E16" s="55"/>
      <c r="F16" s="97">
        <v>0</v>
      </c>
      <c r="G16" s="97">
        <f t="shared" ref="G16:M16" si="5">F16</f>
        <v>0</v>
      </c>
      <c r="H16" s="97">
        <f t="shared" si="5"/>
        <v>0</v>
      </c>
      <c r="I16" s="97">
        <f t="shared" si="5"/>
        <v>0</v>
      </c>
      <c r="J16" s="97">
        <f t="shared" si="5"/>
        <v>0</v>
      </c>
      <c r="K16" s="97">
        <f t="shared" si="5"/>
        <v>0</v>
      </c>
      <c r="L16" s="97">
        <f t="shared" si="5"/>
        <v>0</v>
      </c>
      <c r="M16" s="97">
        <f t="shared" si="5"/>
        <v>0</v>
      </c>
      <c r="N16" s="97">
        <f t="shared" ref="N16:N17" si="6">M16</f>
        <v>0</v>
      </c>
      <c r="O16" s="97">
        <f t="shared" si="1"/>
        <v>0</v>
      </c>
      <c r="P16" s="97">
        <f t="shared" si="2"/>
        <v>0</v>
      </c>
      <c r="Q16" s="97">
        <f t="shared" si="3"/>
        <v>0</v>
      </c>
    </row>
    <row r="17" spans="1:17" ht="18" thickTop="1" thickBot="1">
      <c r="A17" s="5" t="str">
        <f t="shared" si="4"/>
        <v>__S_KeyOth</v>
      </c>
      <c r="B17" s="108"/>
      <c r="C17" s="55" t="s">
        <v>776</v>
      </c>
      <c r="D17" s="55" t="s">
        <v>781</v>
      </c>
      <c r="E17" s="55"/>
      <c r="F17" s="97">
        <v>0</v>
      </c>
      <c r="G17" s="97">
        <f t="shared" ref="G17:M17" si="7">F17</f>
        <v>0</v>
      </c>
      <c r="H17" s="97">
        <f t="shared" si="7"/>
        <v>0</v>
      </c>
      <c r="I17" s="97">
        <f t="shared" si="7"/>
        <v>0</v>
      </c>
      <c r="J17" s="97">
        <f t="shared" si="7"/>
        <v>0</v>
      </c>
      <c r="K17" s="97">
        <f t="shared" si="7"/>
        <v>0</v>
      </c>
      <c r="L17" s="97">
        <f t="shared" si="7"/>
        <v>0</v>
      </c>
      <c r="M17" s="97">
        <f t="shared" si="7"/>
        <v>0</v>
      </c>
      <c r="N17" s="97">
        <f t="shared" si="6"/>
        <v>0</v>
      </c>
      <c r="O17" s="97">
        <f t="shared" si="1"/>
        <v>0</v>
      </c>
      <c r="P17" s="97">
        <f t="shared" si="2"/>
        <v>0</v>
      </c>
      <c r="Q17" s="97">
        <f t="shared" si="3"/>
        <v>0</v>
      </c>
    </row>
    <row r="18" spans="1:17" ht="17.399999999999999" thickTop="1">
      <c r="A18" s="5"/>
      <c r="B18" s="108"/>
      <c r="C18" s="168"/>
      <c r="D18" s="186"/>
      <c r="E18" s="186"/>
      <c r="F18" s="96"/>
      <c r="G18" s="106"/>
      <c r="H18" s="96"/>
      <c r="I18" s="106"/>
      <c r="J18" s="96"/>
      <c r="K18" s="62"/>
      <c r="L18" s="62"/>
    </row>
    <row r="19" spans="1:17" ht="16.8">
      <c r="A19" s="5"/>
      <c r="B19" s="108"/>
      <c r="C19" s="95" t="s">
        <v>158</v>
      </c>
      <c r="D19" s="95"/>
      <c r="E19" s="95"/>
      <c r="F19" s="95"/>
      <c r="G19" s="95"/>
      <c r="H19" s="95"/>
      <c r="I19" s="106"/>
      <c r="J19" s="96"/>
      <c r="K19" s="62"/>
      <c r="L19" s="62"/>
    </row>
    <row r="20" spans="1:17" s="412" customFormat="1" ht="16.8">
      <c r="A20" s="407"/>
      <c r="B20" s="408"/>
      <c r="C20" s="416" t="str">
        <f>"First Row for Entity "&amp;C25</f>
        <v>First Row for Entity 0</v>
      </c>
      <c r="D20" s="416"/>
      <c r="E20" s="416"/>
      <c r="F20" s="409"/>
      <c r="G20" s="409"/>
      <c r="H20" s="409"/>
      <c r="I20" s="410"/>
      <c r="J20" s="410"/>
      <c r="K20" s="411"/>
      <c r="L20" s="411"/>
    </row>
    <row r="21" spans="1:17" ht="12.75" customHeight="1">
      <c r="A21" s="5"/>
      <c r="B21" s="108"/>
      <c r="C21" s="36" t="s">
        <v>265</v>
      </c>
      <c r="D21" s="36"/>
      <c r="E21" s="36"/>
      <c r="F21" s="36"/>
      <c r="G21" s="36"/>
      <c r="H21" s="36"/>
      <c r="I21" s="36"/>
      <c r="J21" s="36" t="s">
        <v>130</v>
      </c>
      <c r="K21" s="36"/>
    </row>
    <row r="22" spans="1:17" ht="12.75" customHeight="1">
      <c r="A22" s="5"/>
      <c r="B22" s="108"/>
      <c r="C22" s="36" t="s">
        <v>499</v>
      </c>
      <c r="D22" s="36" t="s">
        <v>418</v>
      </c>
      <c r="E22" s="36"/>
      <c r="F22" s="36" t="s">
        <v>452</v>
      </c>
      <c r="G22" s="36"/>
      <c r="H22" s="36" t="s">
        <v>54</v>
      </c>
      <c r="I22" s="36"/>
      <c r="J22" s="36" t="s">
        <v>583</v>
      </c>
      <c r="K22" s="36"/>
    </row>
    <row r="23" spans="1:17" ht="16.8">
      <c r="A23" s="5"/>
      <c r="B23" s="108"/>
    </row>
    <row r="24" spans="1:17" ht="19.8" thickBot="1">
      <c r="A24" s="5"/>
      <c r="B24" s="108"/>
      <c r="C24" s="19"/>
      <c r="D24" s="19" t="str" cm="1">
        <f t="array" ref="D24">IF(C25="","Enter Entity Code in C"&amp;ROW()+1,_xll.GetData("Entity.Description","Entity  = '"&amp;C25&amp;"'"))</f>
        <v>Unassigned/Not Applicable</v>
      </c>
      <c r="E24" s="19"/>
      <c r="F24" s="19"/>
      <c r="G24" s="19"/>
      <c r="H24" s="19"/>
      <c r="I24" s="19"/>
      <c r="J24" s="19"/>
      <c r="K24" s="19"/>
    </row>
    <row r="25" spans="1:17" ht="18" thickTop="1" thickBot="1">
      <c r="A25" s="5" t="str">
        <f>C25&amp;"__EntityStatDriver"</f>
        <v>0__EntityStatDriver</v>
      </c>
      <c r="B25" s="108">
        <f>C25</f>
        <v>0</v>
      </c>
      <c r="C25" s="55">
        <f>IF(Mthly_Fcst_Utility!$J$19="No Dept",0,_xll.GetData("Dept.Entity", "DEPT = "&amp;Mthly_Fcst_Utility!$J$19))</f>
        <v>0</v>
      </c>
      <c r="D25" s="40" t="s">
        <v>713</v>
      </c>
      <c r="E25" s="40"/>
      <c r="F25" s="55" t="str">
        <f>A31</f>
        <v>0_S_KeyIP</v>
      </c>
      <c r="G25" s="64"/>
      <c r="H25" s="55" t="str">
        <f>A32</f>
        <v>0_S_KeyOP</v>
      </c>
      <c r="I25" s="64"/>
      <c r="J25" s="55" t="str">
        <f>A33</f>
        <v>0_S_KeyOth</v>
      </c>
      <c r="K25" s="64"/>
    </row>
    <row r="26" spans="1:17" s="135" customFormat="1" ht="18" thickTop="1" thickBot="1">
      <c r="A26" s="5"/>
      <c r="B26" s="143">
        <f t="shared" ref="B26:B30" si="8">B25</f>
        <v>0</v>
      </c>
      <c r="C26" s="40" t="s">
        <v>420</v>
      </c>
      <c r="D26" s="40" t="s">
        <v>88</v>
      </c>
      <c r="E26" s="40"/>
      <c r="F26" s="73"/>
      <c r="G26" s="73"/>
      <c r="H26" s="73"/>
      <c r="I26" s="73"/>
      <c r="J26" s="73"/>
      <c r="K26" s="73"/>
    </row>
    <row r="27" spans="1:17" ht="18" thickTop="1" thickBot="1">
      <c r="A27" s="5" t="str">
        <f>IF(AND(F27="",H27="",J27=""),"",B27&amp;"__Dept_"&amp;C27)</f>
        <v/>
      </c>
      <c r="B27" s="143">
        <f t="shared" si="8"/>
        <v>0</v>
      </c>
      <c r="C27" s="55" t="str">
        <f>Mthly_Fcst_Utility!J19</f>
        <v>No Dept</v>
      </c>
      <c r="D27" s="9" t="str">
        <f>_xll.GetData("Dept.Description","Dept = "&amp;C27,,,,"&lt; Enter Dept Code")</f>
        <v>&lt; Enter Dept Code</v>
      </c>
      <c r="E27" s="9"/>
      <c r="F27" s="55" t="str" cm="1">
        <f t="array" ref="F27">_xll.GetData("KeyIP","Code='"&amp;B27&amp;"__Dept_"&amp;C27&amp;"'",Variables!$I$47)</f>
        <v/>
      </c>
      <c r="G27" s="64"/>
      <c r="H27" s="55" t="str" cm="1">
        <f t="array" ref="H27">_xll.GetData("KeyOP","Code='"&amp;B27&amp;"__Dept_"&amp;C27&amp;"'",Variables!$I$47)</f>
        <v/>
      </c>
      <c r="I27" s="64"/>
      <c r="J27" s="55" t="str" cm="1">
        <f t="array" ref="J27">_xll.GetData("KeyOth","Code='"&amp;B27&amp;"__Dept_"&amp;C27&amp;"'",Variables!$I$47)</f>
        <v/>
      </c>
      <c r="K27" s="64"/>
    </row>
    <row r="28" spans="1:17" ht="18" thickTop="1" thickBot="1">
      <c r="A28" s="5" t="str">
        <f>IF(C28="","",C28)</f>
        <v/>
      </c>
      <c r="B28" s="143">
        <f t="shared" si="8"/>
        <v>0</v>
      </c>
      <c r="C28" s="55"/>
      <c r="D28" s="9" t="str">
        <f>_xll.GetData("Dept.Description","Dept = "&amp;C28,,,,"&lt; Enter Dept Code")</f>
        <v>&lt; Enter Dept Code</v>
      </c>
      <c r="E28" s="9"/>
      <c r="F28" s="55" t="str" cm="1">
        <f t="array" ref="F28">_xll.GetData("KeyIP","Code='"&amp;B28&amp;"__Dept_"&amp;C28&amp;"'",Variables!$I$47)</f>
        <v/>
      </c>
      <c r="G28" s="64"/>
      <c r="H28" s="55"/>
      <c r="I28" s="64"/>
      <c r="J28" s="55"/>
      <c r="K28" s="64"/>
    </row>
    <row r="29" spans="1:17" ht="18" thickTop="1" thickBot="1">
      <c r="A29" s="5" t="str">
        <f>IF(C29="","",C29)</f>
        <v/>
      </c>
      <c r="B29" s="143">
        <f t="shared" si="8"/>
        <v>0</v>
      </c>
      <c r="C29" s="55"/>
      <c r="D29" s="9" t="str">
        <f>_xll.GetData("Dept.Description","Dept = "&amp;C29,,,,"&lt; Enter Dept Code")</f>
        <v>&lt; Enter Dept Code</v>
      </c>
      <c r="E29" s="9"/>
      <c r="F29" s="55"/>
      <c r="G29" s="64"/>
      <c r="H29" s="55"/>
      <c r="I29" s="64"/>
      <c r="J29" s="55"/>
      <c r="K29" s="64"/>
    </row>
    <row r="30" spans="1:17" ht="18" thickTop="1" thickBot="1">
      <c r="A30" s="5" t="s">
        <v>214</v>
      </c>
      <c r="B30" s="143">
        <f t="shared" si="8"/>
        <v>0</v>
      </c>
      <c r="C30" s="40" t="s">
        <v>499</v>
      </c>
      <c r="D30" s="40" t="s">
        <v>418</v>
      </c>
      <c r="E30" s="40"/>
      <c r="F30" s="96"/>
      <c r="G30" s="106"/>
      <c r="H30" s="96"/>
      <c r="I30" s="106"/>
      <c r="J30" s="96"/>
      <c r="K30" s="62"/>
      <c r="L30" s="62"/>
    </row>
    <row r="31" spans="1:17" ht="18" thickTop="1" thickBot="1">
      <c r="A31" s="5" t="str">
        <f>IF(C31="","",B31&amp;"_"&amp;C31)</f>
        <v>0_S_KeyIP</v>
      </c>
      <c r="B31" s="143">
        <f>B30</f>
        <v>0</v>
      </c>
      <c r="C31" s="55" t="s">
        <v>760</v>
      </c>
      <c r="D31" s="55" t="s">
        <v>710</v>
      </c>
      <c r="E31" s="55"/>
      <c r="F31" s="97">
        <v>0</v>
      </c>
      <c r="G31" s="97">
        <v>0</v>
      </c>
      <c r="H31" s="97">
        <v>0</v>
      </c>
      <c r="I31" s="97">
        <v>0</v>
      </c>
      <c r="J31" s="97">
        <v>0</v>
      </c>
      <c r="K31" s="97">
        <v>0</v>
      </c>
      <c r="L31" s="97">
        <v>0</v>
      </c>
      <c r="M31" s="97">
        <v>0</v>
      </c>
      <c r="N31" s="97">
        <v>0</v>
      </c>
      <c r="O31" s="97">
        <v>0</v>
      </c>
      <c r="P31" s="97">
        <v>0</v>
      </c>
      <c r="Q31" s="97">
        <v>0</v>
      </c>
    </row>
    <row r="32" spans="1:17" ht="18" thickTop="1" thickBot="1">
      <c r="A32" s="5" t="str">
        <f>IF(C32="","",B32&amp;"_"&amp;C32)</f>
        <v>0_S_KeyOP</v>
      </c>
      <c r="B32" s="143">
        <f>B31</f>
        <v>0</v>
      </c>
      <c r="C32" s="55" t="s">
        <v>761</v>
      </c>
      <c r="D32" s="55" t="s">
        <v>711</v>
      </c>
      <c r="E32" s="55"/>
      <c r="F32" s="97">
        <v>0</v>
      </c>
      <c r="G32" s="97">
        <v>0</v>
      </c>
      <c r="H32" s="97">
        <v>0</v>
      </c>
      <c r="I32" s="97">
        <v>0</v>
      </c>
      <c r="J32" s="97">
        <v>0</v>
      </c>
      <c r="K32" s="97">
        <v>0</v>
      </c>
      <c r="L32" s="97">
        <v>0</v>
      </c>
      <c r="M32" s="97">
        <v>0</v>
      </c>
      <c r="N32" s="97">
        <v>0</v>
      </c>
      <c r="O32" s="97">
        <v>0</v>
      </c>
      <c r="P32" s="97">
        <v>0</v>
      </c>
      <c r="Q32" s="97">
        <v>0</v>
      </c>
    </row>
    <row r="33" spans="1:17" ht="18" thickTop="1" thickBot="1">
      <c r="A33" s="5" t="str">
        <f>IF(C33="","",B33&amp;"_"&amp;C33)</f>
        <v>0_S_KeyOth</v>
      </c>
      <c r="B33" s="143">
        <f>B32</f>
        <v>0</v>
      </c>
      <c r="C33" s="55" t="s">
        <v>776</v>
      </c>
      <c r="D33" s="55" t="s">
        <v>712</v>
      </c>
      <c r="E33" s="55"/>
      <c r="F33" s="97">
        <v>0</v>
      </c>
      <c r="G33" s="97">
        <v>0</v>
      </c>
      <c r="H33" s="97">
        <v>0</v>
      </c>
      <c r="I33" s="97">
        <v>0</v>
      </c>
      <c r="J33" s="97">
        <v>0</v>
      </c>
      <c r="K33" s="97">
        <v>0</v>
      </c>
      <c r="L33" s="97">
        <v>0</v>
      </c>
      <c r="M33" s="97">
        <v>0</v>
      </c>
      <c r="N33" s="97">
        <v>0</v>
      </c>
      <c r="O33" s="97">
        <v>0</v>
      </c>
      <c r="P33" s="97">
        <v>0</v>
      </c>
      <c r="Q33" s="97">
        <v>0</v>
      </c>
    </row>
    <row r="34" spans="1:17" s="135" customFormat="1" ht="18" thickTop="1" thickBot="1">
      <c r="A34" s="5"/>
      <c r="B34" s="143">
        <f>B33</f>
        <v>0</v>
      </c>
      <c r="C34" s="40" t="s">
        <v>499</v>
      </c>
      <c r="D34" s="40" t="s">
        <v>869</v>
      </c>
      <c r="E34" s="40"/>
      <c r="F34" s="73"/>
      <c r="G34" s="73"/>
      <c r="H34" s="73"/>
      <c r="I34" s="73"/>
      <c r="J34" s="73"/>
      <c r="K34" s="73"/>
    </row>
    <row r="35" spans="1:17" ht="18" thickTop="1" thickBot="1">
      <c r="A35" s="5" t="str">
        <f>IF(C35="","",B35&amp;"__"&amp;C35)</f>
        <v/>
      </c>
      <c r="B35" s="143">
        <f>B33</f>
        <v>0</v>
      </c>
      <c r="C35" s="55" t="str">
        <f>IF(F27="","",RIGHT(F27,LEN(F27)-(LEN(B35)+2)))</f>
        <v/>
      </c>
      <c r="D35" s="55"/>
      <c r="E35" s="55"/>
      <c r="F35" s="97">
        <v>0</v>
      </c>
      <c r="G35" s="97">
        <v>0</v>
      </c>
      <c r="H35" s="97">
        <v>0</v>
      </c>
      <c r="I35" s="97">
        <v>0</v>
      </c>
      <c r="J35" s="97">
        <v>0</v>
      </c>
      <c r="K35" s="97">
        <v>0</v>
      </c>
      <c r="L35" s="97">
        <v>0</v>
      </c>
      <c r="M35" s="97">
        <v>0</v>
      </c>
      <c r="N35" s="97">
        <v>0</v>
      </c>
      <c r="O35" s="97">
        <v>0</v>
      </c>
      <c r="P35" s="97">
        <v>0</v>
      </c>
      <c r="Q35" s="97">
        <v>0</v>
      </c>
    </row>
    <row r="36" spans="1:17" ht="18" thickTop="1" thickBot="1">
      <c r="A36" s="5" t="str">
        <f>IF(C36="","",B36&amp;"__"&amp;C36)</f>
        <v/>
      </c>
      <c r="B36" s="143">
        <f>B35</f>
        <v>0</v>
      </c>
      <c r="C36" s="55" t="str">
        <f>IF(H27="","",RIGHT(H27,LEN(H27)-(LEN(B36)+2)))</f>
        <v/>
      </c>
      <c r="D36" s="55"/>
      <c r="E36" s="55"/>
      <c r="F36" s="97">
        <v>0</v>
      </c>
      <c r="G36" s="97">
        <v>0</v>
      </c>
      <c r="H36" s="97">
        <v>0</v>
      </c>
      <c r="I36" s="97">
        <v>0</v>
      </c>
      <c r="J36" s="97">
        <v>0</v>
      </c>
      <c r="K36" s="97">
        <v>0</v>
      </c>
      <c r="L36" s="97">
        <v>0</v>
      </c>
      <c r="M36" s="97">
        <v>0</v>
      </c>
      <c r="N36" s="97">
        <v>0</v>
      </c>
      <c r="O36" s="97">
        <v>0</v>
      </c>
      <c r="P36" s="97">
        <v>0</v>
      </c>
      <c r="Q36" s="97">
        <v>0</v>
      </c>
    </row>
    <row r="37" spans="1:17" ht="18" thickTop="1" thickBot="1">
      <c r="A37" s="5" t="str">
        <f>IF(C37="","",B37&amp;"__"&amp;C37)</f>
        <v/>
      </c>
      <c r="B37" s="143">
        <f>B36</f>
        <v>0</v>
      </c>
      <c r="C37" s="55" t="str">
        <f>IF(J27="","",RIGHT(J27,LEN(J27)-(LEN(B35)+2)))</f>
        <v/>
      </c>
      <c r="D37" s="55"/>
      <c r="E37" s="55"/>
      <c r="F37" s="97">
        <v>0</v>
      </c>
      <c r="G37" s="97">
        <f>F37</f>
        <v>0</v>
      </c>
      <c r="H37" s="97">
        <f>G37</f>
        <v>0</v>
      </c>
      <c r="I37" s="97">
        <f>H37</f>
        <v>0</v>
      </c>
      <c r="J37" s="97">
        <f>I37</f>
        <v>0</v>
      </c>
      <c r="K37" s="97">
        <f>J37</f>
        <v>0</v>
      </c>
      <c r="L37" s="97">
        <f>K37</f>
        <v>0</v>
      </c>
      <c r="M37" s="97">
        <f>L37</f>
        <v>0</v>
      </c>
      <c r="N37" s="97">
        <f>M37</f>
        <v>0</v>
      </c>
      <c r="O37" s="97">
        <f>N37</f>
        <v>0</v>
      </c>
      <c r="P37" s="97">
        <f>O37</f>
        <v>0</v>
      </c>
      <c r="Q37" s="97">
        <f>P37</f>
        <v>0</v>
      </c>
    </row>
    <row r="38" spans="1:17" ht="18" thickTop="1" thickBot="1">
      <c r="A38" s="5"/>
      <c r="B38" s="143">
        <f>B36</f>
        <v>0</v>
      </c>
      <c r="C38" s="40" t="s">
        <v>705</v>
      </c>
      <c r="D38" s="40" t="s">
        <v>418</v>
      </c>
      <c r="E38" s="40"/>
      <c r="F38" s="96"/>
      <c r="G38" s="106"/>
      <c r="H38" s="96"/>
      <c r="I38" s="106"/>
      <c r="J38" s="96"/>
      <c r="K38" s="62"/>
      <c r="L38" s="62"/>
    </row>
    <row r="39" spans="1:17" ht="18" thickTop="1" thickBot="1">
      <c r="A39" s="5" t="str">
        <f>B39&amp;"_"&amp;C39</f>
        <v>0_R_IPRev</v>
      </c>
      <c r="B39" s="143">
        <f>B38</f>
        <v>0</v>
      </c>
      <c r="C39" s="55" t="s">
        <v>782</v>
      </c>
      <c r="D39" s="55" t="s">
        <v>787</v>
      </c>
      <c r="E39" s="55"/>
      <c r="F39" s="97">
        <v>0</v>
      </c>
      <c r="G39" s="97">
        <v>0</v>
      </c>
      <c r="H39" s="97">
        <v>0</v>
      </c>
      <c r="I39" s="97">
        <v>0</v>
      </c>
      <c r="J39" s="97">
        <v>0</v>
      </c>
      <c r="K39" s="97">
        <v>0</v>
      </c>
      <c r="L39" s="97">
        <v>0</v>
      </c>
      <c r="M39" s="97">
        <v>0</v>
      </c>
      <c r="N39" s="97">
        <v>0</v>
      </c>
      <c r="O39" s="97">
        <v>0</v>
      </c>
      <c r="P39" s="97">
        <v>0</v>
      </c>
      <c r="Q39" s="97">
        <v>0</v>
      </c>
    </row>
    <row r="40" spans="1:17" ht="18" thickTop="1" thickBot="1">
      <c r="A40" s="5" t="str">
        <f>B40&amp;"_"&amp;C40</f>
        <v>0_R_OPRev</v>
      </c>
      <c r="B40" s="143">
        <f>B39</f>
        <v>0</v>
      </c>
      <c r="C40" s="55" t="s">
        <v>802</v>
      </c>
      <c r="D40" s="55" t="s">
        <v>814</v>
      </c>
      <c r="E40" s="55"/>
      <c r="F40" s="97">
        <v>0</v>
      </c>
      <c r="G40" s="97">
        <v>0</v>
      </c>
      <c r="H40" s="97">
        <v>0</v>
      </c>
      <c r="I40" s="97">
        <v>0</v>
      </c>
      <c r="J40" s="97">
        <v>0</v>
      </c>
      <c r="K40" s="97">
        <v>0</v>
      </c>
      <c r="L40" s="97">
        <v>0</v>
      </c>
      <c r="M40" s="97">
        <v>0</v>
      </c>
      <c r="N40" s="97">
        <v>0</v>
      </c>
      <c r="O40" s="97">
        <v>0</v>
      </c>
      <c r="P40" s="97">
        <v>0</v>
      </c>
      <c r="Q40" s="97">
        <v>0</v>
      </c>
    </row>
    <row r="41" spans="1:17" ht="18" thickTop="1" thickBot="1">
      <c r="A41" s="5" t="str">
        <f>B41&amp;"_"&amp;C41</f>
        <v>0_R_OthPtRev</v>
      </c>
      <c r="B41" s="143">
        <f>B40</f>
        <v>0</v>
      </c>
      <c r="C41" s="55" t="s">
        <v>803</v>
      </c>
      <c r="D41" s="55" t="s">
        <v>815</v>
      </c>
      <c r="E41" s="55"/>
      <c r="F41" s="97">
        <v>0</v>
      </c>
      <c r="G41" s="97">
        <v>0</v>
      </c>
      <c r="H41" s="97">
        <v>0</v>
      </c>
      <c r="I41" s="97">
        <v>0</v>
      </c>
      <c r="J41" s="97">
        <v>0</v>
      </c>
      <c r="K41" s="97">
        <v>0</v>
      </c>
      <c r="L41" s="97">
        <v>0</v>
      </c>
      <c r="M41" s="97">
        <v>0</v>
      </c>
      <c r="N41" s="97">
        <v>0</v>
      </c>
      <c r="O41" s="97">
        <v>0</v>
      </c>
      <c r="P41" s="97">
        <v>0</v>
      </c>
      <c r="Q41" s="97">
        <v>0</v>
      </c>
    </row>
    <row r="42" spans="1:17" ht="19.2" customHeight="1" thickTop="1" thickBot="1">
      <c r="A42" s="5" t="str">
        <f>B42&amp;"_"&amp;C42</f>
        <v>0_R_OtherRev</v>
      </c>
      <c r="B42" s="143">
        <f>B41</f>
        <v>0</v>
      </c>
      <c r="C42" s="55" t="s">
        <v>816</v>
      </c>
      <c r="D42" s="55" t="s">
        <v>458</v>
      </c>
      <c r="E42" s="55"/>
      <c r="F42" s="97">
        <v>0</v>
      </c>
      <c r="G42" s="97">
        <v>0</v>
      </c>
      <c r="H42" s="97">
        <v>0</v>
      </c>
      <c r="I42" s="97">
        <v>0</v>
      </c>
      <c r="J42" s="97">
        <v>0</v>
      </c>
      <c r="K42" s="97">
        <v>0</v>
      </c>
      <c r="L42" s="97">
        <v>0</v>
      </c>
      <c r="M42" s="97">
        <v>0</v>
      </c>
      <c r="N42" s="97">
        <v>0</v>
      </c>
      <c r="O42" s="97">
        <v>0</v>
      </c>
      <c r="P42" s="97">
        <v>0</v>
      </c>
      <c r="Q42" s="97">
        <v>0</v>
      </c>
    </row>
    <row r="43" spans="1:17" ht="18" thickTop="1" thickBot="1">
      <c r="A43" s="5" t="str">
        <f>B43&amp;"_"&amp;C43</f>
        <v>0_D_BadDebt</v>
      </c>
      <c r="B43" s="143">
        <f>B39</f>
        <v>0</v>
      </c>
      <c r="C43" s="55" t="s">
        <v>850</v>
      </c>
      <c r="D43" s="55" t="s">
        <v>852</v>
      </c>
      <c r="E43" s="55"/>
      <c r="F43" s="97">
        <v>0</v>
      </c>
      <c r="G43" s="97">
        <v>0</v>
      </c>
      <c r="H43" s="97">
        <v>0</v>
      </c>
      <c r="I43" s="97">
        <v>0</v>
      </c>
      <c r="J43" s="97">
        <v>0</v>
      </c>
      <c r="K43" s="97">
        <v>0</v>
      </c>
      <c r="L43" s="97">
        <v>0</v>
      </c>
      <c r="M43" s="97">
        <v>0</v>
      </c>
      <c r="N43" s="97">
        <v>0</v>
      </c>
      <c r="O43" s="97">
        <v>0</v>
      </c>
      <c r="P43" s="97">
        <v>0</v>
      </c>
      <c r="Q43" s="97">
        <v>0</v>
      </c>
    </row>
    <row r="44" spans="1:17" ht="18" thickTop="1" thickBot="1">
      <c r="A44" s="5" t="str">
        <f>B44&amp;"_"&amp;C44</f>
        <v>0_D_Charity</v>
      </c>
      <c r="B44" s="143">
        <f>B40</f>
        <v>0</v>
      </c>
      <c r="C44" s="55" t="s">
        <v>851</v>
      </c>
      <c r="D44" s="55" t="s">
        <v>853</v>
      </c>
      <c r="E44" s="55"/>
      <c r="F44" s="97">
        <v>0</v>
      </c>
      <c r="G44" s="97">
        <v>0</v>
      </c>
      <c r="H44" s="97">
        <v>0</v>
      </c>
      <c r="I44" s="97">
        <v>0</v>
      </c>
      <c r="J44" s="97">
        <v>0</v>
      </c>
      <c r="K44" s="97">
        <v>0</v>
      </c>
      <c r="L44" s="97">
        <v>0</v>
      </c>
      <c r="M44" s="97">
        <v>0</v>
      </c>
      <c r="N44" s="97">
        <v>0</v>
      </c>
      <c r="O44" s="97">
        <v>0</v>
      </c>
      <c r="P44" s="97">
        <v>0</v>
      </c>
      <c r="Q44" s="97">
        <v>0</v>
      </c>
    </row>
    <row r="45" spans="1:17" ht="18" thickTop="1" thickBot="1">
      <c r="A45" s="5" t="str">
        <f>B45&amp;"_"&amp;C45</f>
        <v>0_D_Discounts</v>
      </c>
      <c r="B45" s="143">
        <f>B41</f>
        <v>0</v>
      </c>
      <c r="C45" s="55" t="s">
        <v>845</v>
      </c>
      <c r="D45" s="55" t="s">
        <v>848</v>
      </c>
      <c r="E45" s="55"/>
      <c r="F45" s="97">
        <v>0</v>
      </c>
      <c r="G45" s="97">
        <v>0</v>
      </c>
      <c r="H45" s="97">
        <v>0</v>
      </c>
      <c r="I45" s="97">
        <v>0</v>
      </c>
      <c r="J45" s="97">
        <v>0</v>
      </c>
      <c r="K45" s="97">
        <v>0</v>
      </c>
      <c r="L45" s="97">
        <v>0</v>
      </c>
      <c r="M45" s="97">
        <v>0</v>
      </c>
      <c r="N45" s="97">
        <v>0</v>
      </c>
      <c r="O45" s="97">
        <v>0</v>
      </c>
      <c r="P45" s="97">
        <v>0</v>
      </c>
      <c r="Q45" s="97">
        <v>0</v>
      </c>
    </row>
    <row r="46" spans="1:17" ht="18" thickTop="1" thickBot="1">
      <c r="A46" s="5" t="str">
        <f>B46&amp;"_"&amp;C46</f>
        <v>0_D_Contractual</v>
      </c>
      <c r="B46" s="143">
        <f>B42</f>
        <v>0</v>
      </c>
      <c r="C46" s="55" t="s">
        <v>804</v>
      </c>
      <c r="D46" s="55" t="s">
        <v>817</v>
      </c>
      <c r="E46" s="55"/>
      <c r="F46" s="97">
        <v>0</v>
      </c>
      <c r="G46" s="97">
        <v>0</v>
      </c>
      <c r="H46" s="97">
        <v>0</v>
      </c>
      <c r="I46" s="97">
        <v>0</v>
      </c>
      <c r="J46" s="97">
        <v>0</v>
      </c>
      <c r="K46" s="97">
        <v>0</v>
      </c>
      <c r="L46" s="97">
        <v>0</v>
      </c>
      <c r="M46" s="97">
        <v>0</v>
      </c>
      <c r="N46" s="97">
        <v>0</v>
      </c>
      <c r="O46" s="97">
        <v>0</v>
      </c>
      <c r="P46" s="97">
        <v>0</v>
      </c>
      <c r="Q46" s="97">
        <v>0</v>
      </c>
    </row>
    <row r="47" spans="1:17" ht="18" thickTop="1" thickBot="1">
      <c r="A47" s="5" t="str">
        <f>B47&amp;"_"&amp;C47</f>
        <v>0_R_NonOpRev</v>
      </c>
      <c r="B47" s="143">
        <f>B46</f>
        <v>0</v>
      </c>
      <c r="C47" s="55" t="s">
        <v>833</v>
      </c>
      <c r="D47" s="55" t="s">
        <v>834</v>
      </c>
      <c r="E47" s="55"/>
      <c r="F47" s="97">
        <v>0</v>
      </c>
      <c r="G47" s="97">
        <v>0</v>
      </c>
      <c r="H47" s="97">
        <v>0</v>
      </c>
      <c r="I47" s="97">
        <v>0</v>
      </c>
      <c r="J47" s="97">
        <v>0</v>
      </c>
      <c r="K47" s="97">
        <v>0</v>
      </c>
      <c r="L47" s="97">
        <v>0</v>
      </c>
      <c r="M47" s="97">
        <v>0</v>
      </c>
      <c r="N47" s="97">
        <v>0</v>
      </c>
      <c r="O47" s="97">
        <v>0</v>
      </c>
      <c r="P47" s="97">
        <v>0</v>
      </c>
      <c r="Q47" s="97">
        <v>0</v>
      </c>
    </row>
    <row r="48" spans="1:17" ht="18" thickTop="1" thickBot="1">
      <c r="A48" s="5" t="str">
        <f>B48&amp;"_"&amp;C48</f>
        <v>0_R_NonOpInvest</v>
      </c>
      <c r="B48" s="143">
        <f>B47</f>
        <v>0</v>
      </c>
      <c r="C48" s="55" t="s">
        <v>835</v>
      </c>
      <c r="D48" s="55" t="s">
        <v>837</v>
      </c>
      <c r="E48" s="55"/>
      <c r="F48" s="97">
        <v>0</v>
      </c>
      <c r="G48" s="97">
        <v>0</v>
      </c>
      <c r="H48" s="97">
        <v>0</v>
      </c>
      <c r="I48" s="97">
        <v>0</v>
      </c>
      <c r="J48" s="97">
        <v>0</v>
      </c>
      <c r="K48" s="97">
        <v>0</v>
      </c>
      <c r="L48" s="97">
        <v>0</v>
      </c>
      <c r="M48" s="97">
        <v>0</v>
      </c>
      <c r="N48" s="97">
        <v>0</v>
      </c>
      <c r="O48" s="97">
        <v>0</v>
      </c>
      <c r="P48" s="97">
        <v>0</v>
      </c>
      <c r="Q48" s="97">
        <v>0</v>
      </c>
    </row>
    <row r="49" spans="1:17" ht="18" thickTop="1" thickBot="1">
      <c r="A49" s="5" t="str">
        <f>B49&amp;"_"&amp;C49</f>
        <v>0_R_NonOpInterest</v>
      </c>
      <c r="B49" s="143">
        <f>B48</f>
        <v>0</v>
      </c>
      <c r="C49" s="55" t="s">
        <v>836</v>
      </c>
      <c r="D49" s="55" t="s">
        <v>838</v>
      </c>
      <c r="E49" s="55"/>
      <c r="F49" s="97">
        <v>0</v>
      </c>
      <c r="G49" s="97">
        <v>0</v>
      </c>
      <c r="H49" s="97">
        <v>0</v>
      </c>
      <c r="I49" s="97">
        <v>0</v>
      </c>
      <c r="J49" s="97">
        <v>0</v>
      </c>
      <c r="K49" s="97">
        <v>0</v>
      </c>
      <c r="L49" s="97">
        <v>0</v>
      </c>
      <c r="M49" s="97">
        <v>0</v>
      </c>
      <c r="N49" s="97">
        <v>0</v>
      </c>
      <c r="O49" s="97">
        <v>0</v>
      </c>
      <c r="P49" s="97">
        <v>0</v>
      </c>
      <c r="Q49" s="97">
        <v>0</v>
      </c>
    </row>
    <row r="50" spans="1:17" ht="17.399999999999999" thickTop="1">
      <c r="A50" s="5"/>
      <c r="B50" s="143">
        <f>B49</f>
        <v>0</v>
      </c>
    </row>
    <row r="51" spans="1:17" ht="17.399999999999999" thickBot="1">
      <c r="A51" s="5"/>
      <c r="B51" s="143">
        <f>B50</f>
        <v>0</v>
      </c>
      <c r="C51" s="40" t="s">
        <v>705</v>
      </c>
      <c r="D51" s="40" t="s">
        <v>418</v>
      </c>
      <c r="E51" s="40"/>
      <c r="F51" s="96"/>
      <c r="G51" s="106"/>
      <c r="H51" s="96"/>
      <c r="I51" s="106"/>
      <c r="J51" s="96"/>
      <c r="K51" s="62"/>
      <c r="L51" s="62"/>
    </row>
    <row r="52" spans="1:17" ht="18" thickTop="1" thickBot="1">
      <c r="A52" s="5" t="str">
        <f>B52&amp;"_"&amp;C52</f>
        <v>0_E_Salaries</v>
      </c>
      <c r="B52" s="143">
        <f>B50</f>
        <v>0</v>
      </c>
      <c r="C52" s="55" t="s">
        <v>706</v>
      </c>
      <c r="D52" s="55" t="s">
        <v>57</v>
      </c>
      <c r="E52" s="55"/>
      <c r="F52" s="97">
        <v>0</v>
      </c>
      <c r="G52" s="97">
        <v>0</v>
      </c>
      <c r="H52" s="97">
        <v>0</v>
      </c>
      <c r="I52" s="97">
        <v>0</v>
      </c>
      <c r="J52" s="97">
        <v>0</v>
      </c>
      <c r="K52" s="97">
        <v>0</v>
      </c>
      <c r="L52" s="97">
        <v>0</v>
      </c>
      <c r="M52" s="97">
        <v>0</v>
      </c>
      <c r="N52" s="97">
        <v>0</v>
      </c>
      <c r="O52" s="97">
        <v>0</v>
      </c>
      <c r="P52" s="97">
        <v>0</v>
      </c>
      <c r="Q52" s="97">
        <v>0</v>
      </c>
    </row>
    <row r="53" spans="1:17" ht="18" thickTop="1" thickBot="1">
      <c r="A53" s="5" t="str">
        <f>B53&amp;"_"&amp;C53</f>
        <v>0_E_Benefits</v>
      </c>
      <c r="B53" s="143">
        <f>B51</f>
        <v>0</v>
      </c>
      <c r="C53" s="55" t="s">
        <v>805</v>
      </c>
      <c r="D53" s="55" t="s">
        <v>181</v>
      </c>
      <c r="E53" s="55"/>
      <c r="F53" s="97">
        <v>0</v>
      </c>
      <c r="G53" s="97">
        <v>0</v>
      </c>
      <c r="H53" s="97">
        <v>0</v>
      </c>
      <c r="I53" s="97">
        <v>0</v>
      </c>
      <c r="J53" s="97">
        <v>0</v>
      </c>
      <c r="K53" s="97">
        <v>0</v>
      </c>
      <c r="L53" s="97">
        <v>0</v>
      </c>
      <c r="M53" s="97">
        <v>0</v>
      </c>
      <c r="N53" s="97">
        <v>0</v>
      </c>
      <c r="O53" s="97">
        <v>0</v>
      </c>
      <c r="P53" s="97">
        <v>0</v>
      </c>
      <c r="Q53" s="97">
        <v>0</v>
      </c>
    </row>
    <row r="54" spans="1:17" ht="18" thickTop="1" thickBot="1">
      <c r="A54" s="5" t="str">
        <f>B54&amp;"_"&amp;C54</f>
        <v>0_E_SalariesContract</v>
      </c>
      <c r="B54" s="143">
        <f>B52</f>
        <v>0</v>
      </c>
      <c r="C54" s="55" t="s">
        <v>839</v>
      </c>
      <c r="D54" s="55" t="s">
        <v>842</v>
      </c>
      <c r="E54" s="55"/>
      <c r="F54" s="97">
        <v>0</v>
      </c>
      <c r="G54" s="97">
        <v>0</v>
      </c>
      <c r="H54" s="97">
        <v>0</v>
      </c>
      <c r="I54" s="97">
        <v>0</v>
      </c>
      <c r="J54" s="97">
        <v>0</v>
      </c>
      <c r="K54" s="97">
        <v>0</v>
      </c>
      <c r="L54" s="97">
        <v>0</v>
      </c>
      <c r="M54" s="97">
        <v>0</v>
      </c>
      <c r="N54" s="97">
        <v>0</v>
      </c>
      <c r="O54" s="97">
        <v>0</v>
      </c>
      <c r="P54" s="97">
        <v>0</v>
      </c>
      <c r="Q54" s="97">
        <v>0</v>
      </c>
    </row>
    <row r="55" spans="1:17" ht="18" thickTop="1" thickBot="1">
      <c r="A55" s="5" t="str">
        <f>B55&amp;"_"&amp;C55</f>
        <v>0_E_ProFees</v>
      </c>
      <c r="B55" s="143">
        <f>B53</f>
        <v>0</v>
      </c>
      <c r="C55" s="55" t="s">
        <v>806</v>
      </c>
      <c r="D55" s="55" t="s">
        <v>822</v>
      </c>
      <c r="E55" s="55"/>
      <c r="F55" s="97">
        <v>0</v>
      </c>
      <c r="G55" s="97">
        <v>0</v>
      </c>
      <c r="H55" s="97">
        <v>0</v>
      </c>
      <c r="I55" s="97">
        <v>0</v>
      </c>
      <c r="J55" s="97">
        <v>0</v>
      </c>
      <c r="K55" s="97">
        <v>0</v>
      </c>
      <c r="L55" s="97">
        <v>0</v>
      </c>
      <c r="M55" s="97">
        <v>0</v>
      </c>
      <c r="N55" s="97">
        <v>0</v>
      </c>
      <c r="O55" s="97">
        <v>0</v>
      </c>
      <c r="P55" s="97">
        <v>0</v>
      </c>
      <c r="Q55" s="97">
        <v>0</v>
      </c>
    </row>
    <row r="56" spans="1:17" ht="18" thickTop="1" thickBot="1">
      <c r="A56" s="5" t="str">
        <f>B56&amp;"_"&amp;C56</f>
        <v>0_E_PurchSvcs</v>
      </c>
      <c r="B56" s="143">
        <f>B55</f>
        <v>0</v>
      </c>
      <c r="C56" s="55" t="s">
        <v>808</v>
      </c>
      <c r="D56" s="55" t="s">
        <v>823</v>
      </c>
      <c r="E56" s="55"/>
      <c r="F56" s="97">
        <v>0</v>
      </c>
      <c r="G56" s="97">
        <v>0</v>
      </c>
      <c r="H56" s="97">
        <v>0</v>
      </c>
      <c r="I56" s="97">
        <v>0</v>
      </c>
      <c r="J56" s="97">
        <v>0</v>
      </c>
      <c r="K56" s="97">
        <v>0</v>
      </c>
      <c r="L56" s="97">
        <v>0</v>
      </c>
      <c r="M56" s="97">
        <v>0</v>
      </c>
      <c r="N56" s="97">
        <v>0</v>
      </c>
      <c r="O56" s="97">
        <v>0</v>
      </c>
      <c r="P56" s="97">
        <v>0</v>
      </c>
      <c r="Q56" s="97">
        <v>0</v>
      </c>
    </row>
    <row r="57" spans="1:17" ht="18" thickTop="1" thickBot="1">
      <c r="A57" s="5" t="str">
        <f>B57&amp;"_"&amp;C57</f>
        <v>0_E_MedSupplies</v>
      </c>
      <c r="B57" s="143">
        <f>B56</f>
        <v>0</v>
      </c>
      <c r="C57" s="55" t="s">
        <v>783</v>
      </c>
      <c r="D57" s="55" t="s">
        <v>788</v>
      </c>
      <c r="E57" s="55"/>
      <c r="F57" s="97">
        <v>0</v>
      </c>
      <c r="G57" s="97">
        <v>0</v>
      </c>
      <c r="H57" s="97">
        <v>0</v>
      </c>
      <c r="I57" s="97">
        <v>0</v>
      </c>
      <c r="J57" s="97">
        <v>0</v>
      </c>
      <c r="K57" s="97">
        <v>0</v>
      </c>
      <c r="L57" s="97">
        <v>0</v>
      </c>
      <c r="M57" s="97">
        <v>0</v>
      </c>
      <c r="N57" s="97">
        <v>0</v>
      </c>
      <c r="O57" s="97">
        <v>0</v>
      </c>
      <c r="P57" s="97">
        <v>0</v>
      </c>
      <c r="Q57" s="97">
        <v>0</v>
      </c>
    </row>
    <row r="58" spans="1:17" ht="18" thickTop="1" thickBot="1">
      <c r="A58" s="5" t="str">
        <f>B58&amp;"_"&amp;C58</f>
        <v>0_E_Drugs</v>
      </c>
      <c r="B58" s="143">
        <f>B57</f>
        <v>0</v>
      </c>
      <c r="C58" s="55" t="s">
        <v>818</v>
      </c>
      <c r="D58" s="55" t="s">
        <v>824</v>
      </c>
      <c r="E58" s="55"/>
      <c r="F58" s="97">
        <v>0</v>
      </c>
      <c r="G58" s="97">
        <v>0</v>
      </c>
      <c r="H58" s="97">
        <v>0</v>
      </c>
      <c r="I58" s="97">
        <v>0</v>
      </c>
      <c r="J58" s="97">
        <v>0</v>
      </c>
      <c r="K58" s="97">
        <v>0</v>
      </c>
      <c r="L58" s="97">
        <v>0</v>
      </c>
      <c r="M58" s="97">
        <v>0</v>
      </c>
      <c r="N58" s="97">
        <v>0</v>
      </c>
      <c r="O58" s="97">
        <v>0</v>
      </c>
      <c r="P58" s="97">
        <v>0</v>
      </c>
      <c r="Q58" s="97">
        <v>0</v>
      </c>
    </row>
    <row r="59" spans="1:17" ht="18" thickTop="1" thickBot="1">
      <c r="A59" s="5" t="str">
        <f>B59&amp;"_"&amp;C59</f>
        <v>0_E_OthSupplies</v>
      </c>
      <c r="B59" s="143">
        <f>B58</f>
        <v>0</v>
      </c>
      <c r="C59" s="55" t="s">
        <v>813</v>
      </c>
      <c r="D59" s="55" t="s">
        <v>825</v>
      </c>
      <c r="E59" s="55"/>
      <c r="F59" s="97">
        <v>0</v>
      </c>
      <c r="G59" s="97">
        <v>0</v>
      </c>
      <c r="H59" s="97">
        <v>0</v>
      </c>
      <c r="I59" s="97">
        <v>0</v>
      </c>
      <c r="J59" s="97">
        <v>0</v>
      </c>
      <c r="K59" s="97">
        <v>0</v>
      </c>
      <c r="L59" s="97">
        <v>0</v>
      </c>
      <c r="M59" s="97">
        <v>0</v>
      </c>
      <c r="N59" s="97">
        <v>0</v>
      </c>
      <c r="O59" s="97">
        <v>0</v>
      </c>
      <c r="P59" s="97">
        <v>0</v>
      </c>
      <c r="Q59" s="97">
        <v>0</v>
      </c>
    </row>
    <row r="60" spans="1:17" ht="18" thickTop="1" thickBot="1">
      <c r="A60" s="5" t="str">
        <f>B60&amp;"_"&amp;C60</f>
        <v>0_E_Depreciation</v>
      </c>
      <c r="B60" s="143">
        <f>B59</f>
        <v>0</v>
      </c>
      <c r="C60" s="55" t="s">
        <v>812</v>
      </c>
      <c r="D60" s="55" t="s">
        <v>826</v>
      </c>
      <c r="E60" s="55"/>
      <c r="F60" s="97">
        <v>0</v>
      </c>
      <c r="G60" s="97">
        <v>0</v>
      </c>
      <c r="H60" s="97">
        <v>0</v>
      </c>
      <c r="I60" s="97">
        <v>0</v>
      </c>
      <c r="J60" s="97">
        <v>0</v>
      </c>
      <c r="K60" s="97">
        <v>0</v>
      </c>
      <c r="L60" s="97">
        <v>0</v>
      </c>
      <c r="M60" s="97">
        <v>0</v>
      </c>
      <c r="N60" s="97">
        <v>0</v>
      </c>
      <c r="O60" s="97">
        <v>0</v>
      </c>
      <c r="P60" s="97">
        <v>0</v>
      </c>
      <c r="Q60" s="97">
        <v>0</v>
      </c>
    </row>
    <row r="61" spans="1:17" ht="18" thickTop="1" thickBot="1">
      <c r="A61" s="5" t="str">
        <f>B61&amp;"_"&amp;C61</f>
        <v>0_E_RentLease</v>
      </c>
      <c r="B61" s="143">
        <f>B60</f>
        <v>0</v>
      </c>
      <c r="C61" s="55" t="s">
        <v>809</v>
      </c>
      <c r="D61" s="55" t="s">
        <v>827</v>
      </c>
      <c r="E61" s="55"/>
      <c r="F61" s="97">
        <v>0</v>
      </c>
      <c r="G61" s="97">
        <v>0</v>
      </c>
      <c r="H61" s="97">
        <v>0</v>
      </c>
      <c r="I61" s="97">
        <v>0</v>
      </c>
      <c r="J61" s="97">
        <v>0</v>
      </c>
      <c r="K61" s="97">
        <v>0</v>
      </c>
      <c r="L61" s="97">
        <v>0</v>
      </c>
      <c r="M61" s="97">
        <v>0</v>
      </c>
      <c r="N61" s="97">
        <v>0</v>
      </c>
      <c r="O61" s="97">
        <v>0</v>
      </c>
      <c r="P61" s="97">
        <v>0</v>
      </c>
      <c r="Q61" s="97">
        <v>0</v>
      </c>
    </row>
    <row r="62" spans="1:17" ht="18" thickTop="1" thickBot="1">
      <c r="A62" s="5" t="str">
        <f>B62&amp;"_"&amp;C62</f>
        <v>0_E_MaintRepairs</v>
      </c>
      <c r="B62" s="143">
        <f>B61</f>
        <v>0</v>
      </c>
      <c r="C62" s="55" t="s">
        <v>807</v>
      </c>
      <c r="D62" s="55" t="s">
        <v>828</v>
      </c>
      <c r="E62" s="55"/>
      <c r="F62" s="97">
        <v>0</v>
      </c>
      <c r="G62" s="97">
        <v>0</v>
      </c>
      <c r="H62" s="97">
        <v>0</v>
      </c>
      <c r="I62" s="97">
        <v>0</v>
      </c>
      <c r="J62" s="97">
        <v>0</v>
      </c>
      <c r="K62" s="97">
        <v>0</v>
      </c>
      <c r="L62" s="97">
        <v>0</v>
      </c>
      <c r="M62" s="97">
        <v>0</v>
      </c>
      <c r="N62" s="97">
        <v>0</v>
      </c>
      <c r="O62" s="97">
        <v>0</v>
      </c>
      <c r="P62" s="97">
        <v>0</v>
      </c>
      <c r="Q62" s="97">
        <v>0</v>
      </c>
    </row>
    <row r="63" spans="1:17" ht="18" thickTop="1" thickBot="1">
      <c r="A63" s="5" t="str">
        <f>B63&amp;"_"&amp;C63</f>
        <v>0_E_Utilities</v>
      </c>
      <c r="B63" s="143">
        <f>B62</f>
        <v>0</v>
      </c>
      <c r="C63" s="55" t="s">
        <v>810</v>
      </c>
      <c r="D63" s="55" t="s">
        <v>829</v>
      </c>
      <c r="E63" s="55"/>
      <c r="F63" s="97">
        <v>0</v>
      </c>
      <c r="G63" s="97">
        <v>0</v>
      </c>
      <c r="H63" s="97">
        <v>0</v>
      </c>
      <c r="I63" s="97">
        <v>0</v>
      </c>
      <c r="J63" s="97">
        <v>0</v>
      </c>
      <c r="K63" s="97">
        <v>0</v>
      </c>
      <c r="L63" s="97">
        <v>0</v>
      </c>
      <c r="M63" s="97">
        <v>0</v>
      </c>
      <c r="N63" s="97">
        <v>0</v>
      </c>
      <c r="O63" s="97">
        <v>0</v>
      </c>
      <c r="P63" s="97">
        <v>0</v>
      </c>
      <c r="Q63" s="97">
        <v>0</v>
      </c>
    </row>
    <row r="64" spans="1:17" ht="18" thickTop="1" thickBot="1">
      <c r="A64" s="5" t="str">
        <f>B64&amp;"_"&amp;C64</f>
        <v>0_E_Insurance</v>
      </c>
      <c r="B64" s="143">
        <f>B63</f>
        <v>0</v>
      </c>
      <c r="C64" s="55" t="s">
        <v>819</v>
      </c>
      <c r="D64" s="55" t="s">
        <v>830</v>
      </c>
      <c r="E64" s="55"/>
      <c r="F64" s="97">
        <v>0</v>
      </c>
      <c r="G64" s="97">
        <v>0</v>
      </c>
      <c r="H64" s="97">
        <v>0</v>
      </c>
      <c r="I64" s="97">
        <v>0</v>
      </c>
      <c r="J64" s="97">
        <v>0</v>
      </c>
      <c r="K64" s="97">
        <v>0</v>
      </c>
      <c r="L64" s="97">
        <v>0</v>
      </c>
      <c r="M64" s="97">
        <v>0</v>
      </c>
      <c r="N64" s="97">
        <v>0</v>
      </c>
      <c r="O64" s="97">
        <v>0</v>
      </c>
      <c r="P64" s="97">
        <v>0</v>
      </c>
      <c r="Q64" s="97">
        <v>0</v>
      </c>
    </row>
    <row r="65" spans="1:17" ht="18" thickTop="1" thickBot="1">
      <c r="A65" s="5" t="str">
        <f>B65&amp;"_"&amp;C65</f>
        <v>0_E_Interest</v>
      </c>
      <c r="B65" s="143">
        <f>B64</f>
        <v>0</v>
      </c>
      <c r="C65" s="55" t="s">
        <v>820</v>
      </c>
      <c r="D65" s="55" t="s">
        <v>831</v>
      </c>
      <c r="E65" s="55"/>
      <c r="F65" s="97">
        <v>0</v>
      </c>
      <c r="G65" s="97">
        <v>0</v>
      </c>
      <c r="H65" s="97">
        <v>0</v>
      </c>
      <c r="I65" s="97">
        <v>0</v>
      </c>
      <c r="J65" s="97">
        <v>0</v>
      </c>
      <c r="K65" s="97">
        <v>0</v>
      </c>
      <c r="L65" s="97">
        <v>0</v>
      </c>
      <c r="M65" s="97">
        <v>0</v>
      </c>
      <c r="N65" s="97">
        <v>0</v>
      </c>
      <c r="O65" s="97">
        <v>0</v>
      </c>
      <c r="P65" s="97">
        <v>0</v>
      </c>
      <c r="Q65" s="97">
        <v>0</v>
      </c>
    </row>
    <row r="66" spans="1:17" ht="18" thickTop="1" thickBot="1">
      <c r="A66" s="5" t="str">
        <f>B66&amp;"_"&amp;C66</f>
        <v>0_E_BadDebt</v>
      </c>
      <c r="B66" s="143">
        <f>B65</f>
        <v>0</v>
      </c>
      <c r="C66" s="55" t="s">
        <v>821</v>
      </c>
      <c r="D66" s="55" t="s">
        <v>832</v>
      </c>
      <c r="E66" s="55"/>
      <c r="F66" s="97">
        <v>0</v>
      </c>
      <c r="G66" s="97">
        <v>0</v>
      </c>
      <c r="H66" s="97">
        <v>0</v>
      </c>
      <c r="I66" s="97">
        <v>0</v>
      </c>
      <c r="J66" s="97">
        <v>0</v>
      </c>
      <c r="K66" s="97">
        <v>0</v>
      </c>
      <c r="L66" s="97">
        <v>0</v>
      </c>
      <c r="M66" s="97">
        <v>0</v>
      </c>
      <c r="N66" s="97">
        <v>0</v>
      </c>
      <c r="O66" s="97">
        <v>0</v>
      </c>
      <c r="P66" s="97">
        <v>0</v>
      </c>
      <c r="Q66" s="97">
        <v>0</v>
      </c>
    </row>
    <row r="67" spans="1:17" ht="18" thickTop="1" thickBot="1">
      <c r="A67" s="5" t="str">
        <f>B67&amp;"_"&amp;C67</f>
        <v>0_E_OtherExp</v>
      </c>
      <c r="B67" s="143">
        <f>B66</f>
        <v>0</v>
      </c>
      <c r="C67" s="55" t="s">
        <v>811</v>
      </c>
      <c r="D67" s="55" t="s">
        <v>374</v>
      </c>
      <c r="E67" s="55"/>
      <c r="F67" s="97">
        <v>0</v>
      </c>
      <c r="G67" s="97">
        <v>0</v>
      </c>
      <c r="H67" s="97">
        <v>0</v>
      </c>
      <c r="I67" s="97">
        <v>0</v>
      </c>
      <c r="J67" s="97">
        <v>0</v>
      </c>
      <c r="K67" s="97">
        <v>0</v>
      </c>
      <c r="L67" s="97">
        <v>0</v>
      </c>
      <c r="M67" s="97">
        <v>0</v>
      </c>
      <c r="N67" s="97">
        <v>0</v>
      </c>
      <c r="O67" s="97">
        <v>0</v>
      </c>
      <c r="P67" s="97">
        <v>0</v>
      </c>
      <c r="Q67" s="97">
        <v>0</v>
      </c>
    </row>
    <row r="68" spans="1:17" s="415" customFormat="1" ht="17.399999999999999" thickTop="1">
      <c r="A68" s="413" t="s">
        <v>671</v>
      </c>
      <c r="B68" s="414"/>
      <c r="C68" s="417" t="str">
        <f>"Last Row for Entity "&amp;C25</f>
        <v>Last Row for Entity 0</v>
      </c>
    </row>
    <row r="69" spans="1:17" ht="16.8">
      <c r="A69" s="5"/>
      <c r="B69" s="108"/>
    </row>
    <row r="70" spans="1:17" ht="16.8">
      <c r="A70" s="5"/>
      <c r="B70" s="108"/>
    </row>
    <row r="71" spans="1:17" ht="16.8">
      <c r="A71" s="5"/>
      <c r="B71" s="108"/>
    </row>
    <row r="72" spans="1:17" ht="16.8">
      <c r="A72" s="5"/>
      <c r="B72" s="108"/>
      <c r="C72" s="183"/>
    </row>
    <row r="73" spans="1:17" ht="16.8">
      <c r="A73" s="5"/>
      <c r="B73" s="108"/>
    </row>
    <row r="74" spans="1:17" ht="16.8">
      <c r="A74" s="5"/>
      <c r="B74" s="108"/>
    </row>
    <row r="75" spans="1:17" ht="16.8">
      <c r="A75" s="5"/>
      <c r="B75" s="108"/>
    </row>
    <row r="76" spans="1:17" ht="16.8">
      <c r="A76" s="5"/>
      <c r="B76" s="108"/>
    </row>
    <row r="77" spans="1:17" ht="16.8">
      <c r="A77" s="5"/>
      <c r="B77" s="108"/>
    </row>
    <row r="78" spans="1:17" ht="16.8">
      <c r="A78" s="5"/>
      <c r="B78" s="108"/>
    </row>
    <row r="79" spans="1:17">
      <c r="B79" s="108"/>
    </row>
    <row r="80" spans="1:17">
      <c r="B80" s="108"/>
    </row>
    <row r="81" spans="2:2">
      <c r="B81" s="108"/>
    </row>
    <row r="82" spans="2:2">
      <c r="B82" s="108"/>
    </row>
    <row r="83" spans="2:2">
      <c r="B83" s="108"/>
    </row>
    <row r="84" spans="2:2">
      <c r="B84" s="108"/>
    </row>
    <row r="85" spans="2:2">
      <c r="B85" s="108"/>
    </row>
  </sheetData>
  <sheetProtection formatCells="0" autoFilter="0"/>
  <phoneticPr fontId="77" type="noConversion"/>
  <conditionalFormatting sqref="F31:M33 F53:M53 F55:M61">
    <cfRule type="expression" dxfId="35" priority="61" stopIfTrue="1">
      <formula>F$4</formula>
    </cfRule>
  </conditionalFormatting>
  <conditionalFormatting sqref="F35:M35">
    <cfRule type="expression" dxfId="34" priority="59" stopIfTrue="1">
      <formula>F$4</formula>
    </cfRule>
  </conditionalFormatting>
  <conditionalFormatting sqref="F36:M36">
    <cfRule type="expression" dxfId="33" priority="57" stopIfTrue="1">
      <formula>F$4</formula>
    </cfRule>
  </conditionalFormatting>
  <conditionalFormatting sqref="N33:Q33 N53:Q53 N55:Q61 N35:Q36">
    <cfRule type="expression" dxfId="32" priority="44" stopIfTrue="1">
      <formula>N$4</formula>
    </cfRule>
  </conditionalFormatting>
  <conditionalFormatting sqref="F67:M67">
    <cfRule type="expression" dxfId="31" priority="48" stopIfTrue="1">
      <formula>F$4</formula>
    </cfRule>
  </conditionalFormatting>
  <conditionalFormatting sqref="F39:M39">
    <cfRule type="expression" dxfId="30" priority="50" stopIfTrue="1">
      <formula>F$4</formula>
    </cfRule>
  </conditionalFormatting>
  <conditionalFormatting sqref="F15:M17">
    <cfRule type="expression" dxfId="29" priority="46" stopIfTrue="1">
      <formula>F$4</formula>
    </cfRule>
  </conditionalFormatting>
  <conditionalFormatting sqref="N39:Q39">
    <cfRule type="expression" dxfId="28" priority="43" stopIfTrue="1">
      <formula>N$4</formula>
    </cfRule>
  </conditionalFormatting>
  <conditionalFormatting sqref="N67:Q67">
    <cfRule type="expression" dxfId="27" priority="42" stopIfTrue="1">
      <formula>N$4</formula>
    </cfRule>
  </conditionalFormatting>
  <conditionalFormatting sqref="F40:M41">
    <cfRule type="expression" dxfId="26" priority="32" stopIfTrue="1">
      <formula>F$4</formula>
    </cfRule>
  </conditionalFormatting>
  <conditionalFormatting sqref="N40:Q41">
    <cfRule type="expression" dxfId="25" priority="31" stopIfTrue="1">
      <formula>N$4</formula>
    </cfRule>
  </conditionalFormatting>
  <conditionalFormatting sqref="F42:M42">
    <cfRule type="expression" dxfId="24" priority="30" stopIfTrue="1">
      <formula>F$4</formula>
    </cfRule>
  </conditionalFormatting>
  <conditionalFormatting sqref="N42:Q42">
    <cfRule type="expression" dxfId="23" priority="29" stopIfTrue="1">
      <formula>N$4</formula>
    </cfRule>
  </conditionalFormatting>
  <conditionalFormatting sqref="F46:M46">
    <cfRule type="expression" dxfId="22" priority="28" stopIfTrue="1">
      <formula>F$4</formula>
    </cfRule>
  </conditionalFormatting>
  <conditionalFormatting sqref="N46:Q46">
    <cfRule type="expression" dxfId="21" priority="27" stopIfTrue="1">
      <formula>N$4</formula>
    </cfRule>
  </conditionalFormatting>
  <conditionalFormatting sqref="F62:M66">
    <cfRule type="expression" dxfId="20" priority="24" stopIfTrue="1">
      <formula>F$4</formula>
    </cfRule>
  </conditionalFormatting>
  <conditionalFormatting sqref="N62:Q66">
    <cfRule type="expression" dxfId="19" priority="23" stopIfTrue="1">
      <formula>N$4</formula>
    </cfRule>
  </conditionalFormatting>
  <conditionalFormatting sqref="F47:M47">
    <cfRule type="expression" dxfId="18" priority="22" stopIfTrue="1">
      <formula>F$4</formula>
    </cfRule>
  </conditionalFormatting>
  <conditionalFormatting sqref="N47:Q47">
    <cfRule type="expression" dxfId="17" priority="21" stopIfTrue="1">
      <formula>N$4</formula>
    </cfRule>
  </conditionalFormatting>
  <conditionalFormatting sqref="F48:M49">
    <cfRule type="expression" dxfId="16" priority="20" stopIfTrue="1">
      <formula>F$4</formula>
    </cfRule>
  </conditionalFormatting>
  <conditionalFormatting sqref="N48:Q49">
    <cfRule type="expression" dxfId="15" priority="19" stopIfTrue="1">
      <formula>N$4</formula>
    </cfRule>
  </conditionalFormatting>
  <conditionalFormatting sqref="N15:Q17">
    <cfRule type="expression" dxfId="14" priority="18" stopIfTrue="1">
      <formula>N$4</formula>
    </cfRule>
  </conditionalFormatting>
  <conditionalFormatting sqref="F52:M52">
    <cfRule type="expression" dxfId="13" priority="16" stopIfTrue="1">
      <formula>F$4</formula>
    </cfRule>
  </conditionalFormatting>
  <conditionalFormatting sqref="F54:M54">
    <cfRule type="expression" dxfId="12" priority="14" stopIfTrue="1">
      <formula>F$4</formula>
    </cfRule>
  </conditionalFormatting>
  <conditionalFormatting sqref="N54:Q54">
    <cfRule type="expression" dxfId="11" priority="13" stopIfTrue="1">
      <formula>N$4</formula>
    </cfRule>
  </conditionalFormatting>
  <conditionalFormatting sqref="N45:Q45">
    <cfRule type="expression" dxfId="10" priority="10" stopIfTrue="1">
      <formula>N$4</formula>
    </cfRule>
  </conditionalFormatting>
  <conditionalFormatting sqref="F45:M45">
    <cfRule type="expression" dxfId="9" priority="11" stopIfTrue="1">
      <formula>F$4</formula>
    </cfRule>
  </conditionalFormatting>
  <conditionalFormatting sqref="F43:M44">
    <cfRule type="expression" dxfId="8" priority="9" stopIfTrue="1">
      <formula>F$4</formula>
    </cfRule>
  </conditionalFormatting>
  <conditionalFormatting sqref="N43:Q44">
    <cfRule type="expression" dxfId="7" priority="8" stopIfTrue="1">
      <formula>N$4</formula>
    </cfRule>
  </conditionalFormatting>
  <conditionalFormatting sqref="F7:M7">
    <cfRule type="expression" dxfId="6" priority="7" stopIfTrue="1">
      <formula>F$4</formula>
    </cfRule>
  </conditionalFormatting>
  <conditionalFormatting sqref="N52:Q52">
    <cfRule type="expression" dxfId="5" priority="3" stopIfTrue="1">
      <formula>N$4</formula>
    </cfRule>
  </conditionalFormatting>
  <conditionalFormatting sqref="N7:Q7">
    <cfRule type="expression" dxfId="4" priority="5" stopIfTrue="1">
      <formula>N$4</formula>
    </cfRule>
  </conditionalFormatting>
  <conditionalFormatting sqref="N31:Q32">
    <cfRule type="expression" dxfId="3" priority="4" stopIfTrue="1">
      <formula>N$4</formula>
    </cfRule>
  </conditionalFormatting>
  <conditionalFormatting sqref="F37:M37">
    <cfRule type="expression" dxfId="2" priority="2" stopIfTrue="1">
      <formula>F$4</formula>
    </cfRule>
  </conditionalFormatting>
  <conditionalFormatting sqref="N37:Q37">
    <cfRule type="expression" dxfId="1" priority="1" stopIfTrue="1">
      <formula>N$4</formula>
    </cfRule>
  </conditionalFormatting>
  <printOptions horizontalCentered="1"/>
  <pageMargins left="0.25" right="0.25" top="0.75" bottom="0.75" header="0.3" footer="0.3"/>
  <pageSetup scale="51" fitToHeight="0" orientation="landscape" r:id="rId1"/>
  <headerFooter>
    <oddFooter>&amp;L&amp;D &amp;T&amp;CPage &amp;P of &amp;N&amp;R&amp;F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DJ133"/>
  <sheetViews>
    <sheetView showGridLines="0" showRowColHeaders="0" tabSelected="1" showOutlineSymbols="0" topLeftCell="F42" zoomScaleNormal="100" workbookViewId="0">
      <pane xSplit="5" ySplit="7" topLeftCell="M49" activePane="bottomRight" state="frozen"/>
      <selection activeCell="F42" sqref="F42"/>
      <selection pane="topRight" activeCell="K42" sqref="K42"/>
      <selection pane="bottomLeft" activeCell="F49" sqref="F49"/>
      <selection pane="bottomRight" activeCell="M45" sqref="M45"/>
    </sheetView>
  </sheetViews>
  <sheetFormatPr defaultColWidth="13.69921875" defaultRowHeight="15"/>
  <cols>
    <col min="1" max="1" width="31.59765625" style="60" customWidth="1"/>
    <col min="2" max="2" width="21.59765625" style="60" customWidth="1"/>
    <col min="3" max="3" width="12.3984375" style="60" customWidth="1"/>
    <col min="4" max="4" width="16.8984375" style="60" bestFit="1" customWidth="1"/>
    <col min="5" max="5" width="28.5" style="60" customWidth="1"/>
    <col min="6" max="6" width="0.8984375" style="60" customWidth="1"/>
    <col min="7" max="8" width="15.69921875" style="60" customWidth="1"/>
    <col min="9" max="9" width="30.69921875" style="176" customWidth="1"/>
    <col min="10" max="10" width="16.5" style="60" customWidth="1"/>
    <col min="11" max="11" width="10.8984375" style="21" customWidth="1"/>
    <col min="12" max="12" width="14.8984375" style="60" bestFit="1" customWidth="1"/>
    <col min="13" max="25" width="14.59765625" style="60" customWidth="1"/>
    <col min="26" max="26" width="11.796875" style="114" bestFit="1" customWidth="1"/>
    <col min="27" max="28" width="13.69921875" style="60" customWidth="1"/>
    <col min="29" max="29" width="15.3984375" style="336" customWidth="1"/>
    <col min="30" max="38" width="13.69921875" style="60" customWidth="1"/>
    <col min="39" max="39" width="18.796875" style="60" bestFit="1" customWidth="1"/>
    <col min="40" max="42" width="13.69921875" style="70" hidden="1" customWidth="1"/>
    <col min="43" max="43" width="13.69921875" style="382" hidden="1" customWidth="1"/>
    <col min="44" max="46" width="13.69921875" style="353" hidden="1" customWidth="1"/>
    <col min="47" max="49" width="13.69921875" style="70" hidden="1" customWidth="1"/>
    <col min="50" max="50" width="13.69921875" style="287" hidden="1" customWidth="1"/>
    <col min="51" max="97" width="13.69921875" style="60" hidden="1" customWidth="1"/>
    <col min="98" max="98" width="27.8984375" style="60" hidden="1" customWidth="1"/>
    <col min="99" max="99" width="15.3984375" style="60" hidden="1" customWidth="1"/>
    <col min="100" max="105" width="13.69921875" style="60" hidden="1" customWidth="1"/>
    <col min="106" max="106" width="15.3984375" style="60" hidden="1" customWidth="1"/>
    <col min="107" max="114" width="13.69921875" style="60" hidden="1" customWidth="1"/>
    <col min="115" max="275" width="13.69921875" style="60" customWidth="1"/>
    <col min="276" max="276" width="10" style="60" customWidth="1"/>
    <col min="277" max="277" width="31.19921875" style="60" customWidth="1"/>
    <col min="278" max="278" width="2.09765625" style="60" customWidth="1"/>
    <col min="279" max="279" width="11.8984375" style="60" customWidth="1"/>
    <col min="280" max="280" width="41.19921875" style="60" customWidth="1"/>
    <col min="281" max="281" width="12.5" style="60" bestFit="1" customWidth="1"/>
    <col min="282" max="282" width="14.09765625" style="60" customWidth="1"/>
    <col min="283" max="283" width="4.5" style="60" customWidth="1"/>
    <col min="284" max="296" width="12.8984375" style="60" customWidth="1"/>
    <col min="297" max="297" width="22.19921875" style="60" customWidth="1"/>
    <col min="298" max="354" width="13.69921875" style="60" customWidth="1"/>
    <col min="355" max="355" width="13.5" style="60" bestFit="1" customWidth="1"/>
    <col min="356" max="361" width="13.69921875" style="60" customWidth="1"/>
    <col min="362" max="362" width="13.5" style="60" bestFit="1" customWidth="1"/>
    <col min="363" max="531" width="13.69921875" style="60" customWidth="1"/>
    <col min="532" max="532" width="10" style="60" customWidth="1"/>
    <col min="533" max="533" width="31.19921875" style="60" customWidth="1"/>
    <col min="534" max="534" width="2.09765625" style="60" customWidth="1"/>
    <col min="535" max="535" width="11.8984375" style="60" customWidth="1"/>
    <col min="536" max="536" width="41.19921875" style="60" customWidth="1"/>
    <col min="537" max="537" width="12.5" style="60" bestFit="1" customWidth="1"/>
    <col min="538" max="538" width="14.09765625" style="60" customWidth="1"/>
    <col min="539" max="539" width="4.5" style="60" customWidth="1"/>
    <col min="540" max="552" width="12.8984375" style="60" customWidth="1"/>
    <col min="553" max="553" width="22.19921875" style="60" customWidth="1"/>
    <col min="554" max="610" width="13.69921875" style="60" customWidth="1"/>
    <col min="611" max="611" width="13.5" style="60" bestFit="1" customWidth="1"/>
    <col min="612" max="617" width="13.69921875" style="60" customWidth="1"/>
    <col min="618" max="618" width="13.5" style="60" bestFit="1" customWidth="1"/>
    <col min="619" max="787" width="13.69921875" style="60" customWidth="1"/>
    <col min="788" max="788" width="10" style="60" customWidth="1"/>
    <col min="789" max="789" width="31.19921875" style="60" customWidth="1"/>
    <col min="790" max="790" width="2.09765625" style="60" customWidth="1"/>
    <col min="791" max="791" width="11.8984375" style="60" customWidth="1"/>
    <col min="792" max="792" width="41.19921875" style="60" customWidth="1"/>
    <col min="793" max="793" width="12.5" style="60" bestFit="1" customWidth="1"/>
    <col min="794" max="794" width="14.09765625" style="60" customWidth="1"/>
    <col min="795" max="795" width="4.5" style="60" customWidth="1"/>
    <col min="796" max="808" width="12.8984375" style="60" customWidth="1"/>
    <col min="809" max="809" width="22.19921875" style="60" customWidth="1"/>
    <col min="810" max="866" width="13.69921875" style="60" customWidth="1"/>
    <col min="867" max="867" width="13.5" style="60" bestFit="1" customWidth="1"/>
    <col min="868" max="873" width="13.69921875" style="60" customWidth="1"/>
    <col min="874" max="874" width="13.5" style="60" bestFit="1" customWidth="1"/>
    <col min="875" max="1043" width="13.69921875" style="60" customWidth="1"/>
    <col min="1044" max="1044" width="10" style="60" customWidth="1"/>
    <col min="1045" max="1045" width="31.19921875" style="60" customWidth="1"/>
    <col min="1046" max="1046" width="2.09765625" style="60" customWidth="1"/>
    <col min="1047" max="1047" width="11.8984375" style="60" customWidth="1"/>
    <col min="1048" max="1048" width="41.19921875" style="60" customWidth="1"/>
    <col min="1049" max="1049" width="12.5" style="60" bestFit="1" customWidth="1"/>
    <col min="1050" max="1050" width="14.09765625" style="60" customWidth="1"/>
    <col min="1051" max="1051" width="4.5" style="60" customWidth="1"/>
    <col min="1052" max="1064" width="12.8984375" style="60" customWidth="1"/>
    <col min="1065" max="1065" width="22.19921875" style="60" customWidth="1"/>
    <col min="1066" max="1122" width="13.69921875" style="60" customWidth="1"/>
    <col min="1123" max="1123" width="13.5" style="60" bestFit="1" customWidth="1"/>
    <col min="1124" max="1129" width="13.69921875" style="60" customWidth="1"/>
    <col min="1130" max="1130" width="13.5" style="60" bestFit="1" customWidth="1"/>
    <col min="1131" max="1299" width="13.69921875" style="60" customWidth="1"/>
    <col min="1300" max="1300" width="10" style="60" customWidth="1"/>
    <col min="1301" max="1301" width="31.19921875" style="60" customWidth="1"/>
    <col min="1302" max="1302" width="2.09765625" style="60" customWidth="1"/>
    <col min="1303" max="1303" width="11.8984375" style="60" customWidth="1"/>
    <col min="1304" max="1304" width="41.19921875" style="60" customWidth="1"/>
    <col min="1305" max="1305" width="12.5" style="60" bestFit="1" customWidth="1"/>
    <col min="1306" max="1306" width="14.09765625" style="60" customWidth="1"/>
    <col min="1307" max="1307" width="4.5" style="60" customWidth="1"/>
    <col min="1308" max="1320" width="12.8984375" style="60" customWidth="1"/>
    <col min="1321" max="1321" width="22.19921875" style="60" customWidth="1"/>
    <col min="1322" max="1378" width="13.69921875" style="60" customWidth="1"/>
    <col min="1379" max="1379" width="13.5" style="60" bestFit="1" customWidth="1"/>
    <col min="1380" max="1385" width="13.69921875" style="60" customWidth="1"/>
    <col min="1386" max="1386" width="13.5" style="60" bestFit="1" customWidth="1"/>
    <col min="1387" max="1555" width="13.69921875" style="60" customWidth="1"/>
    <col min="1556" max="1556" width="10" style="60" customWidth="1"/>
    <col min="1557" max="1557" width="31.19921875" style="60" customWidth="1"/>
    <col min="1558" max="1558" width="2.09765625" style="60" customWidth="1"/>
    <col min="1559" max="1559" width="11.8984375" style="60" customWidth="1"/>
    <col min="1560" max="1560" width="41.19921875" style="60" customWidth="1"/>
    <col min="1561" max="1561" width="12.5" style="60" bestFit="1" customWidth="1"/>
    <col min="1562" max="1562" width="14.09765625" style="60" customWidth="1"/>
    <col min="1563" max="1563" width="4.5" style="60" customWidth="1"/>
    <col min="1564" max="1576" width="12.8984375" style="60" customWidth="1"/>
    <col min="1577" max="1577" width="22.19921875" style="60" customWidth="1"/>
    <col min="1578" max="1634" width="13.69921875" style="60" customWidth="1"/>
    <col min="1635" max="1635" width="13.5" style="60" bestFit="1" customWidth="1"/>
    <col min="1636" max="1641" width="13.69921875" style="60" customWidth="1"/>
    <col min="1642" max="1642" width="13.5" style="60" bestFit="1" customWidth="1"/>
    <col min="1643" max="1811" width="13.69921875" style="60" customWidth="1"/>
    <col min="1812" max="1812" width="10" style="60" customWidth="1"/>
    <col min="1813" max="1813" width="31.19921875" style="60" customWidth="1"/>
    <col min="1814" max="1814" width="2.09765625" style="60" customWidth="1"/>
    <col min="1815" max="1815" width="11.8984375" style="60" customWidth="1"/>
    <col min="1816" max="1816" width="41.19921875" style="60" customWidth="1"/>
    <col min="1817" max="1817" width="12.5" style="60" bestFit="1" customWidth="1"/>
    <col min="1818" max="1818" width="14.09765625" style="60" customWidth="1"/>
    <col min="1819" max="1819" width="4.5" style="60" customWidth="1"/>
    <col min="1820" max="1832" width="12.8984375" style="60" customWidth="1"/>
    <col min="1833" max="1833" width="22.19921875" style="60" customWidth="1"/>
    <col min="1834" max="1890" width="13.69921875" style="60" customWidth="1"/>
    <col min="1891" max="1891" width="13.5" style="60" bestFit="1" customWidth="1"/>
    <col min="1892" max="1897" width="13.69921875" style="60" customWidth="1"/>
    <col min="1898" max="1898" width="13.5" style="60" bestFit="1" customWidth="1"/>
    <col min="1899" max="2067" width="13.69921875" style="60" customWidth="1"/>
    <col min="2068" max="2068" width="10" style="60" customWidth="1"/>
    <col min="2069" max="2069" width="31.19921875" style="60" customWidth="1"/>
    <col min="2070" max="2070" width="2.09765625" style="60" customWidth="1"/>
    <col min="2071" max="2071" width="11.8984375" style="60" customWidth="1"/>
    <col min="2072" max="2072" width="41.19921875" style="60" customWidth="1"/>
    <col min="2073" max="2073" width="12.5" style="60" bestFit="1" customWidth="1"/>
    <col min="2074" max="2074" width="14.09765625" style="60" customWidth="1"/>
    <col min="2075" max="2075" width="4.5" style="60" customWidth="1"/>
    <col min="2076" max="2088" width="12.8984375" style="60" customWidth="1"/>
    <col min="2089" max="2089" width="22.19921875" style="60" customWidth="1"/>
    <col min="2090" max="2146" width="13.69921875" style="60" customWidth="1"/>
    <col min="2147" max="2147" width="13.5" style="60" bestFit="1" customWidth="1"/>
    <col min="2148" max="2153" width="13.69921875" style="60" customWidth="1"/>
    <col min="2154" max="2154" width="13.5" style="60" bestFit="1" customWidth="1"/>
    <col min="2155" max="2323" width="13.69921875" style="60" customWidth="1"/>
    <col min="2324" max="2324" width="10" style="60" customWidth="1"/>
    <col min="2325" max="2325" width="31.19921875" style="60" customWidth="1"/>
    <col min="2326" max="2326" width="2.09765625" style="60" customWidth="1"/>
    <col min="2327" max="2327" width="11.8984375" style="60" customWidth="1"/>
    <col min="2328" max="2328" width="41.19921875" style="60" customWidth="1"/>
    <col min="2329" max="2329" width="12.5" style="60" bestFit="1" customWidth="1"/>
    <col min="2330" max="2330" width="14.09765625" style="60" customWidth="1"/>
    <col min="2331" max="2331" width="4.5" style="60" customWidth="1"/>
    <col min="2332" max="2344" width="12.8984375" style="60" customWidth="1"/>
    <col min="2345" max="2345" width="22.19921875" style="60" customWidth="1"/>
    <col min="2346" max="2402" width="13.69921875" style="60" customWidth="1"/>
    <col min="2403" max="2403" width="13.5" style="60" bestFit="1" customWidth="1"/>
    <col min="2404" max="2409" width="13.69921875" style="60" customWidth="1"/>
    <col min="2410" max="2410" width="13.5" style="60" bestFit="1" customWidth="1"/>
    <col min="2411" max="2579" width="13.69921875" style="60" customWidth="1"/>
    <col min="2580" max="2580" width="10" style="60" customWidth="1"/>
    <col min="2581" max="2581" width="31.19921875" style="60" customWidth="1"/>
    <col min="2582" max="2582" width="2.09765625" style="60" customWidth="1"/>
    <col min="2583" max="2583" width="11.8984375" style="60" customWidth="1"/>
    <col min="2584" max="2584" width="41.19921875" style="60" customWidth="1"/>
    <col min="2585" max="2585" width="12.5" style="60" bestFit="1" customWidth="1"/>
    <col min="2586" max="2586" width="14.09765625" style="60" customWidth="1"/>
    <col min="2587" max="2587" width="4.5" style="60" customWidth="1"/>
    <col min="2588" max="2600" width="12.8984375" style="60" customWidth="1"/>
    <col min="2601" max="2601" width="22.19921875" style="60" customWidth="1"/>
    <col min="2602" max="2658" width="13.69921875" style="60" customWidth="1"/>
    <col min="2659" max="2659" width="13.5" style="60" bestFit="1" customWidth="1"/>
    <col min="2660" max="2665" width="13.69921875" style="60" customWidth="1"/>
    <col min="2666" max="2666" width="13.5" style="60" bestFit="1" customWidth="1"/>
    <col min="2667" max="2835" width="13.69921875" style="60" customWidth="1"/>
    <col min="2836" max="2836" width="10" style="60" customWidth="1"/>
    <col min="2837" max="2837" width="31.19921875" style="60" customWidth="1"/>
    <col min="2838" max="2838" width="2.09765625" style="60" customWidth="1"/>
    <col min="2839" max="2839" width="11.8984375" style="60" customWidth="1"/>
    <col min="2840" max="2840" width="41.19921875" style="60" customWidth="1"/>
    <col min="2841" max="2841" width="12.5" style="60" bestFit="1" customWidth="1"/>
    <col min="2842" max="2842" width="14.09765625" style="60" customWidth="1"/>
    <col min="2843" max="2843" width="4.5" style="60" customWidth="1"/>
    <col min="2844" max="2856" width="12.8984375" style="60" customWidth="1"/>
    <col min="2857" max="2857" width="22.19921875" style="60" customWidth="1"/>
    <col min="2858" max="2914" width="13.69921875" style="60" customWidth="1"/>
    <col min="2915" max="2915" width="13.5" style="60" bestFit="1" customWidth="1"/>
    <col min="2916" max="2921" width="13.69921875" style="60" customWidth="1"/>
    <col min="2922" max="2922" width="13.5" style="60" bestFit="1" customWidth="1"/>
    <col min="2923" max="3091" width="13.69921875" style="60" customWidth="1"/>
    <col min="3092" max="3092" width="10" style="60" customWidth="1"/>
    <col min="3093" max="3093" width="31.19921875" style="60" customWidth="1"/>
    <col min="3094" max="3094" width="2.09765625" style="60" customWidth="1"/>
    <col min="3095" max="3095" width="11.8984375" style="60" customWidth="1"/>
    <col min="3096" max="3096" width="41.19921875" style="60" customWidth="1"/>
    <col min="3097" max="3097" width="12.5" style="60" bestFit="1" customWidth="1"/>
    <col min="3098" max="3098" width="14.09765625" style="60" customWidth="1"/>
    <col min="3099" max="3099" width="4.5" style="60" customWidth="1"/>
    <col min="3100" max="3112" width="12.8984375" style="60" customWidth="1"/>
    <col min="3113" max="3113" width="22.19921875" style="60" customWidth="1"/>
    <col min="3114" max="3170" width="13.69921875" style="60" customWidth="1"/>
    <col min="3171" max="3171" width="13.5" style="60" bestFit="1" customWidth="1"/>
    <col min="3172" max="3177" width="13.69921875" style="60" customWidth="1"/>
    <col min="3178" max="3178" width="13.5" style="60" bestFit="1" customWidth="1"/>
    <col min="3179" max="3347" width="13.69921875" style="60" customWidth="1"/>
    <col min="3348" max="3348" width="10" style="60" customWidth="1"/>
    <col min="3349" max="3349" width="31.19921875" style="60" customWidth="1"/>
    <col min="3350" max="3350" width="2.09765625" style="60" customWidth="1"/>
    <col min="3351" max="3351" width="11.8984375" style="60" customWidth="1"/>
    <col min="3352" max="3352" width="41.19921875" style="60" customWidth="1"/>
    <col min="3353" max="3353" width="12.5" style="60" bestFit="1" customWidth="1"/>
    <col min="3354" max="3354" width="14.09765625" style="60" customWidth="1"/>
    <col min="3355" max="3355" width="4.5" style="60" customWidth="1"/>
    <col min="3356" max="3368" width="12.8984375" style="60" customWidth="1"/>
    <col min="3369" max="3369" width="22.19921875" style="60" customWidth="1"/>
    <col min="3370" max="3426" width="13.69921875" style="60" customWidth="1"/>
    <col min="3427" max="3427" width="13.5" style="60" bestFit="1" customWidth="1"/>
    <col min="3428" max="3433" width="13.69921875" style="60" customWidth="1"/>
    <col min="3434" max="3434" width="13.5" style="60" bestFit="1" customWidth="1"/>
    <col min="3435" max="3603" width="13.69921875" style="60" customWidth="1"/>
    <col min="3604" max="3604" width="10" style="60" customWidth="1"/>
    <col min="3605" max="3605" width="31.19921875" style="60" customWidth="1"/>
    <col min="3606" max="3606" width="2.09765625" style="60" customWidth="1"/>
    <col min="3607" max="3607" width="11.8984375" style="60" customWidth="1"/>
    <col min="3608" max="3608" width="41.19921875" style="60" customWidth="1"/>
    <col min="3609" max="3609" width="12.5" style="60" bestFit="1" customWidth="1"/>
    <col min="3610" max="3610" width="14.09765625" style="60" customWidth="1"/>
    <col min="3611" max="3611" width="4.5" style="60" customWidth="1"/>
    <col min="3612" max="3624" width="12.8984375" style="60" customWidth="1"/>
    <col min="3625" max="3625" width="22.19921875" style="60" customWidth="1"/>
    <col min="3626" max="3682" width="13.69921875" style="60" customWidth="1"/>
    <col min="3683" max="3683" width="13.5" style="60" bestFit="1" customWidth="1"/>
    <col min="3684" max="3689" width="13.69921875" style="60" customWidth="1"/>
    <col min="3690" max="3690" width="13.5" style="60" bestFit="1" customWidth="1"/>
    <col min="3691" max="3859" width="13.69921875" style="60" customWidth="1"/>
    <col min="3860" max="3860" width="10" style="60" customWidth="1"/>
    <col min="3861" max="3861" width="31.19921875" style="60" customWidth="1"/>
    <col min="3862" max="3862" width="2.09765625" style="60" customWidth="1"/>
    <col min="3863" max="3863" width="11.8984375" style="60" customWidth="1"/>
    <col min="3864" max="3864" width="41.19921875" style="60" customWidth="1"/>
    <col min="3865" max="3865" width="12.5" style="60" bestFit="1" customWidth="1"/>
    <col min="3866" max="3866" width="14.09765625" style="60" customWidth="1"/>
    <col min="3867" max="3867" width="4.5" style="60" customWidth="1"/>
    <col min="3868" max="3880" width="12.8984375" style="60" customWidth="1"/>
    <col min="3881" max="3881" width="22.19921875" style="60" customWidth="1"/>
    <col min="3882" max="3938" width="13.69921875" style="60" customWidth="1"/>
    <col min="3939" max="3939" width="13.5" style="60" bestFit="1" customWidth="1"/>
    <col min="3940" max="3945" width="13.69921875" style="60" customWidth="1"/>
    <col min="3946" max="3946" width="13.5" style="60" bestFit="1" customWidth="1"/>
    <col min="3947" max="4115" width="13.69921875" style="60" customWidth="1"/>
    <col min="4116" max="4116" width="10" style="60" customWidth="1"/>
    <col min="4117" max="4117" width="31.19921875" style="60" customWidth="1"/>
    <col min="4118" max="4118" width="2.09765625" style="60" customWidth="1"/>
    <col min="4119" max="4119" width="11.8984375" style="60" customWidth="1"/>
    <col min="4120" max="4120" width="41.19921875" style="60" customWidth="1"/>
    <col min="4121" max="4121" width="12.5" style="60" bestFit="1" customWidth="1"/>
    <col min="4122" max="4122" width="14.09765625" style="60" customWidth="1"/>
    <col min="4123" max="4123" width="4.5" style="60" customWidth="1"/>
    <col min="4124" max="4136" width="12.8984375" style="60" customWidth="1"/>
    <col min="4137" max="4137" width="22.19921875" style="60" customWidth="1"/>
    <col min="4138" max="4194" width="13.69921875" style="60" customWidth="1"/>
    <col min="4195" max="4195" width="13.5" style="60" bestFit="1" customWidth="1"/>
    <col min="4196" max="4201" width="13.69921875" style="60" customWidth="1"/>
    <col min="4202" max="4202" width="13.5" style="60" bestFit="1" customWidth="1"/>
    <col min="4203" max="4371" width="13.69921875" style="60" customWidth="1"/>
    <col min="4372" max="4372" width="10" style="60" customWidth="1"/>
    <col min="4373" max="4373" width="31.19921875" style="60" customWidth="1"/>
    <col min="4374" max="4374" width="2.09765625" style="60" customWidth="1"/>
    <col min="4375" max="4375" width="11.8984375" style="60" customWidth="1"/>
    <col min="4376" max="4376" width="41.19921875" style="60" customWidth="1"/>
    <col min="4377" max="4377" width="12.5" style="60" bestFit="1" customWidth="1"/>
    <col min="4378" max="4378" width="14.09765625" style="60" customWidth="1"/>
    <col min="4379" max="4379" width="4.5" style="60" customWidth="1"/>
    <col min="4380" max="4392" width="12.8984375" style="60" customWidth="1"/>
    <col min="4393" max="4393" width="22.19921875" style="60" customWidth="1"/>
    <col min="4394" max="4450" width="13.69921875" style="60" customWidth="1"/>
    <col min="4451" max="4451" width="13.5" style="60" bestFit="1" customWidth="1"/>
    <col min="4452" max="4457" width="13.69921875" style="60" customWidth="1"/>
    <col min="4458" max="4458" width="13.5" style="60" bestFit="1" customWidth="1"/>
    <col min="4459" max="4627" width="13.69921875" style="60" customWidth="1"/>
    <col min="4628" max="4628" width="10" style="60" customWidth="1"/>
    <col min="4629" max="4629" width="31.19921875" style="60" customWidth="1"/>
    <col min="4630" max="4630" width="2.09765625" style="60" customWidth="1"/>
    <col min="4631" max="4631" width="11.8984375" style="60" customWidth="1"/>
    <col min="4632" max="4632" width="41.19921875" style="60" customWidth="1"/>
    <col min="4633" max="4633" width="12.5" style="60" bestFit="1" customWidth="1"/>
    <col min="4634" max="4634" width="14.09765625" style="60" customWidth="1"/>
    <col min="4635" max="4635" width="4.5" style="60" customWidth="1"/>
    <col min="4636" max="4648" width="12.8984375" style="60" customWidth="1"/>
    <col min="4649" max="4649" width="22.19921875" style="60" customWidth="1"/>
    <col min="4650" max="4706" width="13.69921875" style="60" customWidth="1"/>
    <col min="4707" max="4707" width="13.5" style="60" bestFit="1" customWidth="1"/>
    <col min="4708" max="4713" width="13.69921875" style="60" customWidth="1"/>
    <col min="4714" max="4714" width="13.5" style="60" bestFit="1" customWidth="1"/>
    <col min="4715" max="4883" width="13.69921875" style="60" customWidth="1"/>
    <col min="4884" max="4884" width="10" style="60" customWidth="1"/>
    <col min="4885" max="4885" width="31.19921875" style="60" customWidth="1"/>
    <col min="4886" max="4886" width="2.09765625" style="60" customWidth="1"/>
    <col min="4887" max="4887" width="11.8984375" style="60" customWidth="1"/>
    <col min="4888" max="4888" width="41.19921875" style="60" customWidth="1"/>
    <col min="4889" max="4889" width="12.5" style="60" bestFit="1" customWidth="1"/>
    <col min="4890" max="4890" width="14.09765625" style="60" customWidth="1"/>
    <col min="4891" max="4891" width="4.5" style="60" customWidth="1"/>
    <col min="4892" max="4904" width="12.8984375" style="60" customWidth="1"/>
    <col min="4905" max="4905" width="22.19921875" style="60" customWidth="1"/>
    <col min="4906" max="4962" width="13.69921875" style="60" customWidth="1"/>
    <col min="4963" max="4963" width="13.5" style="60" bestFit="1" customWidth="1"/>
    <col min="4964" max="4969" width="13.69921875" style="60" customWidth="1"/>
    <col min="4970" max="4970" width="13.5" style="60" bestFit="1" customWidth="1"/>
    <col min="4971" max="5139" width="13.69921875" style="60" customWidth="1"/>
    <col min="5140" max="5140" width="10" style="60" customWidth="1"/>
    <col min="5141" max="5141" width="31.19921875" style="60" customWidth="1"/>
    <col min="5142" max="5142" width="2.09765625" style="60" customWidth="1"/>
    <col min="5143" max="5143" width="11.8984375" style="60" customWidth="1"/>
    <col min="5144" max="5144" width="41.19921875" style="60" customWidth="1"/>
    <col min="5145" max="5145" width="12.5" style="60" bestFit="1" customWidth="1"/>
    <col min="5146" max="5146" width="14.09765625" style="60" customWidth="1"/>
    <col min="5147" max="5147" width="4.5" style="60" customWidth="1"/>
    <col min="5148" max="5160" width="12.8984375" style="60" customWidth="1"/>
    <col min="5161" max="5161" width="22.19921875" style="60" customWidth="1"/>
    <col min="5162" max="5218" width="13.69921875" style="60" customWidth="1"/>
    <col min="5219" max="5219" width="13.5" style="60" bestFit="1" customWidth="1"/>
    <col min="5220" max="5225" width="13.69921875" style="60" customWidth="1"/>
    <col min="5226" max="5226" width="13.5" style="60" bestFit="1" customWidth="1"/>
    <col min="5227" max="5395" width="13.69921875" style="60" customWidth="1"/>
    <col min="5396" max="5396" width="10" style="60" customWidth="1"/>
    <col min="5397" max="5397" width="31.19921875" style="60" customWidth="1"/>
    <col min="5398" max="5398" width="2.09765625" style="60" customWidth="1"/>
    <col min="5399" max="5399" width="11.8984375" style="60" customWidth="1"/>
    <col min="5400" max="5400" width="41.19921875" style="60" customWidth="1"/>
    <col min="5401" max="5401" width="12.5" style="60" bestFit="1" customWidth="1"/>
    <col min="5402" max="5402" width="14.09765625" style="60" customWidth="1"/>
    <col min="5403" max="5403" width="4.5" style="60" customWidth="1"/>
    <col min="5404" max="5416" width="12.8984375" style="60" customWidth="1"/>
    <col min="5417" max="5417" width="22.19921875" style="60" customWidth="1"/>
    <col min="5418" max="5474" width="13.69921875" style="60" customWidth="1"/>
    <col min="5475" max="5475" width="13.5" style="60" bestFit="1" customWidth="1"/>
    <col min="5476" max="5481" width="13.69921875" style="60" customWidth="1"/>
    <col min="5482" max="5482" width="13.5" style="60" bestFit="1" customWidth="1"/>
    <col min="5483" max="5651" width="13.69921875" style="60" customWidth="1"/>
    <col min="5652" max="5652" width="10" style="60" customWidth="1"/>
    <col min="5653" max="5653" width="31.19921875" style="60" customWidth="1"/>
    <col min="5654" max="5654" width="2.09765625" style="60" customWidth="1"/>
    <col min="5655" max="5655" width="11.8984375" style="60" customWidth="1"/>
    <col min="5656" max="5656" width="41.19921875" style="60" customWidth="1"/>
    <col min="5657" max="5657" width="12.5" style="60" bestFit="1" customWidth="1"/>
    <col min="5658" max="5658" width="14.09765625" style="60" customWidth="1"/>
    <col min="5659" max="5659" width="4.5" style="60" customWidth="1"/>
    <col min="5660" max="5672" width="12.8984375" style="60" customWidth="1"/>
    <col min="5673" max="5673" width="22.19921875" style="60" customWidth="1"/>
    <col min="5674" max="5730" width="13.69921875" style="60" customWidth="1"/>
    <col min="5731" max="5731" width="13.5" style="60" bestFit="1" customWidth="1"/>
    <col min="5732" max="5737" width="13.69921875" style="60" customWidth="1"/>
    <col min="5738" max="5738" width="13.5" style="60" bestFit="1" customWidth="1"/>
    <col min="5739" max="5907" width="13.69921875" style="60" customWidth="1"/>
    <col min="5908" max="5908" width="10" style="60" customWidth="1"/>
    <col min="5909" max="5909" width="31.19921875" style="60" customWidth="1"/>
    <col min="5910" max="5910" width="2.09765625" style="60" customWidth="1"/>
    <col min="5911" max="5911" width="11.8984375" style="60" customWidth="1"/>
    <col min="5912" max="5912" width="41.19921875" style="60" customWidth="1"/>
    <col min="5913" max="5913" width="12.5" style="60" bestFit="1" customWidth="1"/>
    <col min="5914" max="5914" width="14.09765625" style="60" customWidth="1"/>
    <col min="5915" max="5915" width="4.5" style="60" customWidth="1"/>
    <col min="5916" max="5928" width="12.8984375" style="60" customWidth="1"/>
    <col min="5929" max="5929" width="22.19921875" style="60" customWidth="1"/>
    <col min="5930" max="5986" width="13.69921875" style="60" customWidth="1"/>
    <col min="5987" max="5987" width="13.5" style="60" bestFit="1" customWidth="1"/>
    <col min="5988" max="5993" width="13.69921875" style="60" customWidth="1"/>
    <col min="5994" max="5994" width="13.5" style="60" bestFit="1" customWidth="1"/>
    <col min="5995" max="6163" width="13.69921875" style="60" customWidth="1"/>
    <col min="6164" max="6164" width="10" style="60" customWidth="1"/>
    <col min="6165" max="6165" width="31.19921875" style="60" customWidth="1"/>
    <col min="6166" max="6166" width="2.09765625" style="60" customWidth="1"/>
    <col min="6167" max="6167" width="11.8984375" style="60" customWidth="1"/>
    <col min="6168" max="6168" width="41.19921875" style="60" customWidth="1"/>
    <col min="6169" max="6169" width="12.5" style="60" bestFit="1" customWidth="1"/>
    <col min="6170" max="6170" width="14.09765625" style="60" customWidth="1"/>
    <col min="6171" max="6171" width="4.5" style="60" customWidth="1"/>
    <col min="6172" max="6184" width="12.8984375" style="60" customWidth="1"/>
    <col min="6185" max="6185" width="22.19921875" style="60" customWidth="1"/>
    <col min="6186" max="6242" width="13.69921875" style="60" customWidth="1"/>
    <col min="6243" max="6243" width="13.5" style="60" bestFit="1" customWidth="1"/>
    <col min="6244" max="6249" width="13.69921875" style="60" customWidth="1"/>
    <col min="6250" max="6250" width="13.5" style="60" bestFit="1" customWidth="1"/>
    <col min="6251" max="6419" width="13.69921875" style="60" customWidth="1"/>
    <col min="6420" max="6420" width="10" style="60" customWidth="1"/>
    <col min="6421" max="6421" width="31.19921875" style="60" customWidth="1"/>
    <col min="6422" max="6422" width="2.09765625" style="60" customWidth="1"/>
    <col min="6423" max="6423" width="11.8984375" style="60" customWidth="1"/>
    <col min="6424" max="6424" width="41.19921875" style="60" customWidth="1"/>
    <col min="6425" max="6425" width="12.5" style="60" bestFit="1" customWidth="1"/>
    <col min="6426" max="6426" width="14.09765625" style="60" customWidth="1"/>
    <col min="6427" max="6427" width="4.5" style="60" customWidth="1"/>
    <col min="6428" max="6440" width="12.8984375" style="60" customWidth="1"/>
    <col min="6441" max="6441" width="22.19921875" style="60" customWidth="1"/>
    <col min="6442" max="6498" width="13.69921875" style="60" customWidth="1"/>
    <col min="6499" max="6499" width="13.5" style="60" bestFit="1" customWidth="1"/>
    <col min="6500" max="6505" width="13.69921875" style="60" customWidth="1"/>
    <col min="6506" max="6506" width="13.5" style="60" bestFit="1" customWidth="1"/>
    <col min="6507" max="6675" width="13.69921875" style="60" customWidth="1"/>
    <col min="6676" max="6676" width="10" style="60" customWidth="1"/>
    <col min="6677" max="6677" width="31.19921875" style="60" customWidth="1"/>
    <col min="6678" max="6678" width="2.09765625" style="60" customWidth="1"/>
    <col min="6679" max="6679" width="11.8984375" style="60" customWidth="1"/>
    <col min="6680" max="6680" width="41.19921875" style="60" customWidth="1"/>
    <col min="6681" max="6681" width="12.5" style="60" bestFit="1" customWidth="1"/>
    <col min="6682" max="6682" width="14.09765625" style="60" customWidth="1"/>
    <col min="6683" max="6683" width="4.5" style="60" customWidth="1"/>
    <col min="6684" max="6696" width="12.8984375" style="60" customWidth="1"/>
    <col min="6697" max="6697" width="22.19921875" style="60" customWidth="1"/>
    <col min="6698" max="6754" width="13.69921875" style="60" customWidth="1"/>
    <col min="6755" max="6755" width="13.5" style="60" bestFit="1" customWidth="1"/>
    <col min="6756" max="6761" width="13.69921875" style="60" customWidth="1"/>
    <col min="6762" max="6762" width="13.5" style="60" bestFit="1" customWidth="1"/>
    <col min="6763" max="6931" width="13.69921875" style="60" customWidth="1"/>
    <col min="6932" max="6932" width="10" style="60" customWidth="1"/>
    <col min="6933" max="6933" width="31.19921875" style="60" customWidth="1"/>
    <col min="6934" max="6934" width="2.09765625" style="60" customWidth="1"/>
    <col min="6935" max="6935" width="11.8984375" style="60" customWidth="1"/>
    <col min="6936" max="6936" width="41.19921875" style="60" customWidth="1"/>
    <col min="6937" max="6937" width="12.5" style="60" bestFit="1" customWidth="1"/>
    <col min="6938" max="6938" width="14.09765625" style="60" customWidth="1"/>
    <col min="6939" max="6939" width="4.5" style="60" customWidth="1"/>
    <col min="6940" max="6952" width="12.8984375" style="60" customWidth="1"/>
    <col min="6953" max="6953" width="22.19921875" style="60" customWidth="1"/>
    <col min="6954" max="7010" width="13.69921875" style="60" customWidth="1"/>
    <col min="7011" max="7011" width="13.5" style="60" bestFit="1" customWidth="1"/>
    <col min="7012" max="7017" width="13.69921875" style="60" customWidth="1"/>
    <col min="7018" max="7018" width="13.5" style="60" bestFit="1" customWidth="1"/>
    <col min="7019" max="7187" width="13.69921875" style="60" customWidth="1"/>
    <col min="7188" max="7188" width="10" style="60" customWidth="1"/>
    <col min="7189" max="7189" width="31.19921875" style="60" customWidth="1"/>
    <col min="7190" max="7190" width="2.09765625" style="60" customWidth="1"/>
    <col min="7191" max="7191" width="11.8984375" style="60" customWidth="1"/>
    <col min="7192" max="7192" width="41.19921875" style="60" customWidth="1"/>
    <col min="7193" max="7193" width="12.5" style="60" bestFit="1" customWidth="1"/>
    <col min="7194" max="7194" width="14.09765625" style="60" customWidth="1"/>
    <col min="7195" max="7195" width="4.5" style="60" customWidth="1"/>
    <col min="7196" max="7208" width="12.8984375" style="60" customWidth="1"/>
    <col min="7209" max="7209" width="22.19921875" style="60" customWidth="1"/>
    <col min="7210" max="7266" width="13.69921875" style="60" customWidth="1"/>
    <col min="7267" max="7267" width="13.5" style="60" bestFit="1" customWidth="1"/>
    <col min="7268" max="7273" width="13.69921875" style="60" customWidth="1"/>
    <col min="7274" max="7274" width="13.5" style="60" bestFit="1" customWidth="1"/>
    <col min="7275" max="7443" width="13.69921875" style="60" customWidth="1"/>
    <col min="7444" max="7444" width="10" style="60" customWidth="1"/>
    <col min="7445" max="7445" width="31.19921875" style="60" customWidth="1"/>
    <col min="7446" max="7446" width="2.09765625" style="60" customWidth="1"/>
    <col min="7447" max="7447" width="11.8984375" style="60" customWidth="1"/>
    <col min="7448" max="7448" width="41.19921875" style="60" customWidth="1"/>
    <col min="7449" max="7449" width="12.5" style="60" bestFit="1" customWidth="1"/>
    <col min="7450" max="7450" width="14.09765625" style="60" customWidth="1"/>
    <col min="7451" max="7451" width="4.5" style="60" customWidth="1"/>
    <col min="7452" max="7464" width="12.8984375" style="60" customWidth="1"/>
    <col min="7465" max="7465" width="22.19921875" style="60" customWidth="1"/>
    <col min="7466" max="7522" width="13.69921875" style="60" customWidth="1"/>
    <col min="7523" max="7523" width="13.5" style="60" bestFit="1" customWidth="1"/>
    <col min="7524" max="7529" width="13.69921875" style="60" customWidth="1"/>
    <col min="7530" max="7530" width="13.5" style="60" bestFit="1" customWidth="1"/>
    <col min="7531" max="7699" width="13.69921875" style="60" customWidth="1"/>
    <col min="7700" max="7700" width="10" style="60" customWidth="1"/>
    <col min="7701" max="7701" width="31.19921875" style="60" customWidth="1"/>
    <col min="7702" max="7702" width="2.09765625" style="60" customWidth="1"/>
    <col min="7703" max="7703" width="11.8984375" style="60" customWidth="1"/>
    <col min="7704" max="7704" width="41.19921875" style="60" customWidth="1"/>
    <col min="7705" max="7705" width="12.5" style="60" bestFit="1" customWidth="1"/>
    <col min="7706" max="7706" width="14.09765625" style="60" customWidth="1"/>
    <col min="7707" max="7707" width="4.5" style="60" customWidth="1"/>
    <col min="7708" max="7720" width="12.8984375" style="60" customWidth="1"/>
    <col min="7721" max="7721" width="22.19921875" style="60" customWidth="1"/>
    <col min="7722" max="7778" width="13.69921875" style="60" customWidth="1"/>
    <col min="7779" max="7779" width="13.5" style="60" bestFit="1" customWidth="1"/>
    <col min="7780" max="7785" width="13.69921875" style="60" customWidth="1"/>
    <col min="7786" max="7786" width="13.5" style="60" bestFit="1" customWidth="1"/>
    <col min="7787" max="7955" width="13.69921875" style="60" customWidth="1"/>
    <col min="7956" max="7956" width="10" style="60" customWidth="1"/>
    <col min="7957" max="7957" width="31.19921875" style="60" customWidth="1"/>
    <col min="7958" max="7958" width="2.09765625" style="60" customWidth="1"/>
    <col min="7959" max="7959" width="11.8984375" style="60" customWidth="1"/>
    <col min="7960" max="7960" width="41.19921875" style="60" customWidth="1"/>
    <col min="7961" max="7961" width="12.5" style="60" bestFit="1" customWidth="1"/>
    <col min="7962" max="7962" width="14.09765625" style="60" customWidth="1"/>
    <col min="7963" max="7963" width="4.5" style="60" customWidth="1"/>
    <col min="7964" max="7976" width="12.8984375" style="60" customWidth="1"/>
    <col min="7977" max="7977" width="22.19921875" style="60" customWidth="1"/>
    <col min="7978" max="8034" width="13.69921875" style="60" customWidth="1"/>
    <col min="8035" max="8035" width="13.5" style="60" bestFit="1" customWidth="1"/>
    <col min="8036" max="8041" width="13.69921875" style="60" customWidth="1"/>
    <col min="8042" max="8042" width="13.5" style="60" bestFit="1" customWidth="1"/>
    <col min="8043" max="8211" width="13.69921875" style="60" customWidth="1"/>
    <col min="8212" max="8212" width="10" style="60" customWidth="1"/>
    <col min="8213" max="8213" width="31.19921875" style="60" customWidth="1"/>
    <col min="8214" max="8214" width="2.09765625" style="60" customWidth="1"/>
    <col min="8215" max="8215" width="11.8984375" style="60" customWidth="1"/>
    <col min="8216" max="8216" width="41.19921875" style="60" customWidth="1"/>
    <col min="8217" max="8217" width="12.5" style="60" bestFit="1" customWidth="1"/>
    <col min="8218" max="8218" width="14.09765625" style="60" customWidth="1"/>
    <col min="8219" max="8219" width="4.5" style="60" customWidth="1"/>
    <col min="8220" max="8232" width="12.8984375" style="60" customWidth="1"/>
    <col min="8233" max="8233" width="22.19921875" style="60" customWidth="1"/>
    <col min="8234" max="8290" width="13.69921875" style="60" customWidth="1"/>
    <col min="8291" max="8291" width="13.5" style="60" bestFit="1" customWidth="1"/>
    <col min="8292" max="8297" width="13.69921875" style="60" customWidth="1"/>
    <col min="8298" max="8298" width="13.5" style="60" bestFit="1" customWidth="1"/>
    <col min="8299" max="8467" width="13.69921875" style="60" customWidth="1"/>
    <col min="8468" max="8468" width="10" style="60" customWidth="1"/>
    <col min="8469" max="8469" width="31.19921875" style="60" customWidth="1"/>
    <col min="8470" max="8470" width="2.09765625" style="60" customWidth="1"/>
    <col min="8471" max="8471" width="11.8984375" style="60" customWidth="1"/>
    <col min="8472" max="8472" width="41.19921875" style="60" customWidth="1"/>
    <col min="8473" max="8473" width="12.5" style="60" bestFit="1" customWidth="1"/>
    <col min="8474" max="8474" width="14.09765625" style="60" customWidth="1"/>
    <col min="8475" max="8475" width="4.5" style="60" customWidth="1"/>
    <col min="8476" max="8488" width="12.8984375" style="60" customWidth="1"/>
    <col min="8489" max="8489" width="22.19921875" style="60" customWidth="1"/>
    <col min="8490" max="8546" width="13.69921875" style="60" customWidth="1"/>
    <col min="8547" max="8547" width="13.5" style="60" bestFit="1" customWidth="1"/>
    <col min="8548" max="8553" width="13.69921875" style="60" customWidth="1"/>
    <col min="8554" max="8554" width="13.5" style="60" bestFit="1" customWidth="1"/>
    <col min="8555" max="8723" width="13.69921875" style="60" customWidth="1"/>
    <col min="8724" max="8724" width="10" style="60" customWidth="1"/>
    <col min="8725" max="8725" width="31.19921875" style="60" customWidth="1"/>
    <col min="8726" max="8726" width="2.09765625" style="60" customWidth="1"/>
    <col min="8727" max="8727" width="11.8984375" style="60" customWidth="1"/>
    <col min="8728" max="8728" width="41.19921875" style="60" customWidth="1"/>
    <col min="8729" max="8729" width="12.5" style="60" bestFit="1" customWidth="1"/>
    <col min="8730" max="8730" width="14.09765625" style="60" customWidth="1"/>
    <col min="8731" max="8731" width="4.5" style="60" customWidth="1"/>
    <col min="8732" max="8744" width="12.8984375" style="60" customWidth="1"/>
    <col min="8745" max="8745" width="22.19921875" style="60" customWidth="1"/>
    <col min="8746" max="8802" width="13.69921875" style="60" customWidth="1"/>
    <col min="8803" max="8803" width="13.5" style="60" bestFit="1" customWidth="1"/>
    <col min="8804" max="8809" width="13.69921875" style="60" customWidth="1"/>
    <col min="8810" max="8810" width="13.5" style="60" bestFit="1" customWidth="1"/>
    <col min="8811" max="8979" width="13.69921875" style="60" customWidth="1"/>
    <col min="8980" max="8980" width="10" style="60" customWidth="1"/>
    <col min="8981" max="8981" width="31.19921875" style="60" customWidth="1"/>
    <col min="8982" max="8982" width="2.09765625" style="60" customWidth="1"/>
    <col min="8983" max="8983" width="11.8984375" style="60" customWidth="1"/>
    <col min="8984" max="8984" width="41.19921875" style="60" customWidth="1"/>
    <col min="8985" max="8985" width="12.5" style="60" bestFit="1" customWidth="1"/>
    <col min="8986" max="8986" width="14.09765625" style="60" customWidth="1"/>
    <col min="8987" max="8987" width="4.5" style="60" customWidth="1"/>
    <col min="8988" max="9000" width="12.8984375" style="60" customWidth="1"/>
    <col min="9001" max="9001" width="22.19921875" style="60" customWidth="1"/>
    <col min="9002" max="9058" width="13.69921875" style="60" customWidth="1"/>
    <col min="9059" max="9059" width="13.5" style="60" bestFit="1" customWidth="1"/>
    <col min="9060" max="9065" width="13.69921875" style="60" customWidth="1"/>
    <col min="9066" max="9066" width="13.5" style="60" bestFit="1" customWidth="1"/>
    <col min="9067" max="9235" width="13.69921875" style="60" customWidth="1"/>
    <col min="9236" max="9236" width="10" style="60" customWidth="1"/>
    <col min="9237" max="9237" width="31.19921875" style="60" customWidth="1"/>
    <col min="9238" max="9238" width="2.09765625" style="60" customWidth="1"/>
    <col min="9239" max="9239" width="11.8984375" style="60" customWidth="1"/>
    <col min="9240" max="9240" width="41.19921875" style="60" customWidth="1"/>
    <col min="9241" max="9241" width="12.5" style="60" bestFit="1" customWidth="1"/>
    <col min="9242" max="9242" width="14.09765625" style="60" customWidth="1"/>
    <col min="9243" max="9243" width="4.5" style="60" customWidth="1"/>
    <col min="9244" max="9256" width="12.8984375" style="60" customWidth="1"/>
    <col min="9257" max="9257" width="22.19921875" style="60" customWidth="1"/>
    <col min="9258" max="9314" width="13.69921875" style="60" customWidth="1"/>
    <col min="9315" max="9315" width="13.5" style="60" bestFit="1" customWidth="1"/>
    <col min="9316" max="9321" width="13.69921875" style="60" customWidth="1"/>
    <col min="9322" max="9322" width="13.5" style="60" bestFit="1" customWidth="1"/>
    <col min="9323" max="9491" width="13.69921875" style="60" customWidth="1"/>
    <col min="9492" max="9492" width="10" style="60" customWidth="1"/>
    <col min="9493" max="9493" width="31.19921875" style="60" customWidth="1"/>
    <col min="9494" max="9494" width="2.09765625" style="60" customWidth="1"/>
    <col min="9495" max="9495" width="11.8984375" style="60" customWidth="1"/>
    <col min="9496" max="9496" width="41.19921875" style="60" customWidth="1"/>
    <col min="9497" max="9497" width="12.5" style="60" bestFit="1" customWidth="1"/>
    <col min="9498" max="9498" width="14.09765625" style="60" customWidth="1"/>
    <col min="9499" max="9499" width="4.5" style="60" customWidth="1"/>
    <col min="9500" max="9512" width="12.8984375" style="60" customWidth="1"/>
    <col min="9513" max="9513" width="22.19921875" style="60" customWidth="1"/>
    <col min="9514" max="9570" width="13.69921875" style="60" customWidth="1"/>
    <col min="9571" max="9571" width="13.5" style="60" bestFit="1" customWidth="1"/>
    <col min="9572" max="9577" width="13.69921875" style="60" customWidth="1"/>
    <col min="9578" max="9578" width="13.5" style="60" bestFit="1" customWidth="1"/>
    <col min="9579" max="9747" width="13.69921875" style="60" customWidth="1"/>
    <col min="9748" max="9748" width="10" style="60" customWidth="1"/>
    <col min="9749" max="9749" width="31.19921875" style="60" customWidth="1"/>
    <col min="9750" max="9750" width="2.09765625" style="60" customWidth="1"/>
    <col min="9751" max="9751" width="11.8984375" style="60" customWidth="1"/>
    <col min="9752" max="9752" width="41.19921875" style="60" customWidth="1"/>
    <col min="9753" max="9753" width="12.5" style="60" bestFit="1" customWidth="1"/>
    <col min="9754" max="9754" width="14.09765625" style="60" customWidth="1"/>
    <col min="9755" max="9755" width="4.5" style="60" customWidth="1"/>
    <col min="9756" max="9768" width="12.8984375" style="60" customWidth="1"/>
    <col min="9769" max="9769" width="22.19921875" style="60" customWidth="1"/>
    <col min="9770" max="9826" width="13.69921875" style="60" customWidth="1"/>
    <col min="9827" max="9827" width="13.5" style="60" bestFit="1" customWidth="1"/>
    <col min="9828" max="9833" width="13.69921875" style="60" customWidth="1"/>
    <col min="9834" max="9834" width="13.5" style="60" bestFit="1" customWidth="1"/>
    <col min="9835" max="10003" width="13.69921875" style="60" customWidth="1"/>
    <col min="10004" max="10004" width="10" style="60" customWidth="1"/>
    <col min="10005" max="10005" width="31.19921875" style="60" customWidth="1"/>
    <col min="10006" max="10006" width="2.09765625" style="60" customWidth="1"/>
    <col min="10007" max="10007" width="11.8984375" style="60" customWidth="1"/>
    <col min="10008" max="10008" width="41.19921875" style="60" customWidth="1"/>
    <col min="10009" max="10009" width="12.5" style="60" bestFit="1" customWidth="1"/>
    <col min="10010" max="10010" width="14.09765625" style="60" customWidth="1"/>
    <col min="10011" max="10011" width="4.5" style="60" customWidth="1"/>
    <col min="10012" max="10024" width="12.8984375" style="60" customWidth="1"/>
    <col min="10025" max="10025" width="22.19921875" style="60" customWidth="1"/>
    <col min="10026" max="10082" width="13.69921875" style="60" customWidth="1"/>
    <col min="10083" max="10083" width="13.5" style="60" bestFit="1" customWidth="1"/>
    <col min="10084" max="10089" width="13.69921875" style="60" customWidth="1"/>
    <col min="10090" max="10090" width="13.5" style="60" bestFit="1" customWidth="1"/>
    <col min="10091" max="10259" width="13.69921875" style="60" customWidth="1"/>
    <col min="10260" max="10260" width="10" style="60" customWidth="1"/>
    <col min="10261" max="10261" width="31.19921875" style="60" customWidth="1"/>
    <col min="10262" max="10262" width="2.09765625" style="60" customWidth="1"/>
    <col min="10263" max="10263" width="11.8984375" style="60" customWidth="1"/>
    <col min="10264" max="10264" width="41.19921875" style="60" customWidth="1"/>
    <col min="10265" max="10265" width="12.5" style="60" bestFit="1" customWidth="1"/>
    <col min="10266" max="10266" width="14.09765625" style="60" customWidth="1"/>
    <col min="10267" max="10267" width="4.5" style="60" customWidth="1"/>
    <col min="10268" max="10280" width="12.8984375" style="60" customWidth="1"/>
    <col min="10281" max="10281" width="22.19921875" style="60" customWidth="1"/>
    <col min="10282" max="10338" width="13.69921875" style="60" customWidth="1"/>
    <col min="10339" max="10339" width="13.5" style="60" bestFit="1" customWidth="1"/>
    <col min="10340" max="10345" width="13.69921875" style="60" customWidth="1"/>
    <col min="10346" max="10346" width="13.5" style="60" bestFit="1" customWidth="1"/>
    <col min="10347" max="10515" width="13.69921875" style="60" customWidth="1"/>
    <col min="10516" max="10516" width="10" style="60" customWidth="1"/>
    <col min="10517" max="10517" width="31.19921875" style="60" customWidth="1"/>
    <col min="10518" max="10518" width="2.09765625" style="60" customWidth="1"/>
    <col min="10519" max="10519" width="11.8984375" style="60" customWidth="1"/>
    <col min="10520" max="10520" width="41.19921875" style="60" customWidth="1"/>
    <col min="10521" max="10521" width="12.5" style="60" bestFit="1" customWidth="1"/>
    <col min="10522" max="10522" width="14.09765625" style="60" customWidth="1"/>
    <col min="10523" max="10523" width="4.5" style="60" customWidth="1"/>
    <col min="10524" max="10536" width="12.8984375" style="60" customWidth="1"/>
    <col min="10537" max="10537" width="22.19921875" style="60" customWidth="1"/>
    <col min="10538" max="10594" width="13.69921875" style="60" customWidth="1"/>
    <col min="10595" max="10595" width="13.5" style="60" bestFit="1" customWidth="1"/>
    <col min="10596" max="10601" width="13.69921875" style="60" customWidth="1"/>
    <col min="10602" max="10602" width="13.5" style="60" bestFit="1" customWidth="1"/>
    <col min="10603" max="10771" width="13.69921875" style="60" customWidth="1"/>
    <col min="10772" max="10772" width="10" style="60" customWidth="1"/>
    <col min="10773" max="10773" width="31.19921875" style="60" customWidth="1"/>
    <col min="10774" max="10774" width="2.09765625" style="60" customWidth="1"/>
    <col min="10775" max="10775" width="11.8984375" style="60" customWidth="1"/>
    <col min="10776" max="10776" width="41.19921875" style="60" customWidth="1"/>
    <col min="10777" max="10777" width="12.5" style="60" bestFit="1" customWidth="1"/>
    <col min="10778" max="10778" width="14.09765625" style="60" customWidth="1"/>
    <col min="10779" max="10779" width="4.5" style="60" customWidth="1"/>
    <col min="10780" max="10792" width="12.8984375" style="60" customWidth="1"/>
    <col min="10793" max="10793" width="22.19921875" style="60" customWidth="1"/>
    <col min="10794" max="10850" width="13.69921875" style="60" customWidth="1"/>
    <col min="10851" max="10851" width="13.5" style="60" bestFit="1" customWidth="1"/>
    <col min="10852" max="10857" width="13.69921875" style="60" customWidth="1"/>
    <col min="10858" max="10858" width="13.5" style="60" bestFit="1" customWidth="1"/>
    <col min="10859" max="11027" width="13.69921875" style="60" customWidth="1"/>
    <col min="11028" max="11028" width="10" style="60" customWidth="1"/>
    <col min="11029" max="11029" width="31.19921875" style="60" customWidth="1"/>
    <col min="11030" max="11030" width="2.09765625" style="60" customWidth="1"/>
    <col min="11031" max="11031" width="11.8984375" style="60" customWidth="1"/>
    <col min="11032" max="11032" width="41.19921875" style="60" customWidth="1"/>
    <col min="11033" max="11033" width="12.5" style="60" bestFit="1" customWidth="1"/>
    <col min="11034" max="11034" width="14.09765625" style="60" customWidth="1"/>
    <col min="11035" max="11035" width="4.5" style="60" customWidth="1"/>
    <col min="11036" max="11048" width="12.8984375" style="60" customWidth="1"/>
    <col min="11049" max="11049" width="22.19921875" style="60" customWidth="1"/>
    <col min="11050" max="11106" width="13.69921875" style="60" customWidth="1"/>
    <col min="11107" max="11107" width="13.5" style="60" bestFit="1" customWidth="1"/>
    <col min="11108" max="11113" width="13.69921875" style="60" customWidth="1"/>
    <col min="11114" max="11114" width="13.5" style="60" bestFit="1" customWidth="1"/>
    <col min="11115" max="11283" width="13.69921875" style="60" customWidth="1"/>
    <col min="11284" max="11284" width="10" style="60" customWidth="1"/>
    <col min="11285" max="11285" width="31.19921875" style="60" customWidth="1"/>
    <col min="11286" max="11286" width="2.09765625" style="60" customWidth="1"/>
    <col min="11287" max="11287" width="11.8984375" style="60" customWidth="1"/>
    <col min="11288" max="11288" width="41.19921875" style="60" customWidth="1"/>
    <col min="11289" max="11289" width="12.5" style="60" bestFit="1" customWidth="1"/>
    <col min="11290" max="11290" width="14.09765625" style="60" customWidth="1"/>
    <col min="11291" max="11291" width="4.5" style="60" customWidth="1"/>
    <col min="11292" max="11304" width="12.8984375" style="60" customWidth="1"/>
    <col min="11305" max="11305" width="22.19921875" style="60" customWidth="1"/>
    <col min="11306" max="11362" width="13.69921875" style="60" customWidth="1"/>
    <col min="11363" max="11363" width="13.5" style="60" bestFit="1" customWidth="1"/>
    <col min="11364" max="11369" width="13.69921875" style="60" customWidth="1"/>
    <col min="11370" max="11370" width="13.5" style="60" bestFit="1" customWidth="1"/>
    <col min="11371" max="11539" width="13.69921875" style="60" customWidth="1"/>
    <col min="11540" max="11540" width="10" style="60" customWidth="1"/>
    <col min="11541" max="11541" width="31.19921875" style="60" customWidth="1"/>
    <col min="11542" max="11542" width="2.09765625" style="60" customWidth="1"/>
    <col min="11543" max="11543" width="11.8984375" style="60" customWidth="1"/>
    <col min="11544" max="11544" width="41.19921875" style="60" customWidth="1"/>
    <col min="11545" max="11545" width="12.5" style="60" bestFit="1" customWidth="1"/>
    <col min="11546" max="11546" width="14.09765625" style="60" customWidth="1"/>
    <col min="11547" max="11547" width="4.5" style="60" customWidth="1"/>
    <col min="11548" max="11560" width="12.8984375" style="60" customWidth="1"/>
    <col min="11561" max="11561" width="22.19921875" style="60" customWidth="1"/>
    <col min="11562" max="11618" width="13.69921875" style="60" customWidth="1"/>
    <col min="11619" max="11619" width="13.5" style="60" bestFit="1" customWidth="1"/>
    <col min="11620" max="11625" width="13.69921875" style="60" customWidth="1"/>
    <col min="11626" max="11626" width="13.5" style="60" bestFit="1" customWidth="1"/>
    <col min="11627" max="11795" width="13.69921875" style="60" customWidth="1"/>
    <col min="11796" max="11796" width="10" style="60" customWidth="1"/>
    <col min="11797" max="11797" width="31.19921875" style="60" customWidth="1"/>
    <col min="11798" max="11798" width="2.09765625" style="60" customWidth="1"/>
    <col min="11799" max="11799" width="11.8984375" style="60" customWidth="1"/>
    <col min="11800" max="11800" width="41.19921875" style="60" customWidth="1"/>
    <col min="11801" max="11801" width="12.5" style="60" bestFit="1" customWidth="1"/>
    <col min="11802" max="11802" width="14.09765625" style="60" customWidth="1"/>
    <col min="11803" max="11803" width="4.5" style="60" customWidth="1"/>
    <col min="11804" max="11816" width="12.8984375" style="60" customWidth="1"/>
    <col min="11817" max="11817" width="22.19921875" style="60" customWidth="1"/>
    <col min="11818" max="11874" width="13.69921875" style="60" customWidth="1"/>
    <col min="11875" max="11875" width="13.5" style="60" bestFit="1" customWidth="1"/>
    <col min="11876" max="11881" width="13.69921875" style="60" customWidth="1"/>
    <col min="11882" max="11882" width="13.5" style="60" bestFit="1" customWidth="1"/>
    <col min="11883" max="12051" width="13.69921875" style="60" customWidth="1"/>
    <col min="12052" max="12052" width="10" style="60" customWidth="1"/>
    <col min="12053" max="12053" width="31.19921875" style="60" customWidth="1"/>
    <col min="12054" max="12054" width="2.09765625" style="60" customWidth="1"/>
    <col min="12055" max="12055" width="11.8984375" style="60" customWidth="1"/>
    <col min="12056" max="12056" width="41.19921875" style="60" customWidth="1"/>
    <col min="12057" max="12057" width="12.5" style="60" bestFit="1" customWidth="1"/>
    <col min="12058" max="12058" width="14.09765625" style="60" customWidth="1"/>
    <col min="12059" max="12059" width="4.5" style="60" customWidth="1"/>
    <col min="12060" max="12072" width="12.8984375" style="60" customWidth="1"/>
    <col min="12073" max="12073" width="22.19921875" style="60" customWidth="1"/>
    <col min="12074" max="12130" width="13.69921875" style="60" customWidth="1"/>
    <col min="12131" max="12131" width="13.5" style="60" bestFit="1" customWidth="1"/>
    <col min="12132" max="12137" width="13.69921875" style="60" customWidth="1"/>
    <col min="12138" max="12138" width="13.5" style="60" bestFit="1" customWidth="1"/>
    <col min="12139" max="12307" width="13.69921875" style="60" customWidth="1"/>
    <col min="12308" max="12308" width="10" style="60" customWidth="1"/>
    <col min="12309" max="12309" width="31.19921875" style="60" customWidth="1"/>
    <col min="12310" max="12310" width="2.09765625" style="60" customWidth="1"/>
    <col min="12311" max="12311" width="11.8984375" style="60" customWidth="1"/>
    <col min="12312" max="12312" width="41.19921875" style="60" customWidth="1"/>
    <col min="12313" max="12313" width="12.5" style="60" bestFit="1" customWidth="1"/>
    <col min="12314" max="12314" width="14.09765625" style="60" customWidth="1"/>
    <col min="12315" max="12315" width="4.5" style="60" customWidth="1"/>
    <col min="12316" max="12328" width="12.8984375" style="60" customWidth="1"/>
    <col min="12329" max="12329" width="22.19921875" style="60" customWidth="1"/>
    <col min="12330" max="12386" width="13.69921875" style="60" customWidth="1"/>
    <col min="12387" max="12387" width="13.5" style="60" bestFit="1" customWidth="1"/>
    <col min="12388" max="12393" width="13.69921875" style="60" customWidth="1"/>
    <col min="12394" max="12394" width="13.5" style="60" bestFit="1" customWidth="1"/>
    <col min="12395" max="12563" width="13.69921875" style="60" customWidth="1"/>
    <col min="12564" max="12564" width="10" style="60" customWidth="1"/>
    <col min="12565" max="12565" width="31.19921875" style="60" customWidth="1"/>
    <col min="12566" max="12566" width="2.09765625" style="60" customWidth="1"/>
    <col min="12567" max="12567" width="11.8984375" style="60" customWidth="1"/>
    <col min="12568" max="12568" width="41.19921875" style="60" customWidth="1"/>
    <col min="12569" max="12569" width="12.5" style="60" bestFit="1" customWidth="1"/>
    <col min="12570" max="12570" width="14.09765625" style="60" customWidth="1"/>
    <col min="12571" max="12571" width="4.5" style="60" customWidth="1"/>
    <col min="12572" max="12584" width="12.8984375" style="60" customWidth="1"/>
    <col min="12585" max="12585" width="22.19921875" style="60" customWidth="1"/>
    <col min="12586" max="12642" width="13.69921875" style="60" customWidth="1"/>
    <col min="12643" max="12643" width="13.5" style="60" bestFit="1" customWidth="1"/>
    <col min="12644" max="12649" width="13.69921875" style="60" customWidth="1"/>
    <col min="12650" max="12650" width="13.5" style="60" bestFit="1" customWidth="1"/>
    <col min="12651" max="12819" width="13.69921875" style="60" customWidth="1"/>
    <col min="12820" max="12820" width="10" style="60" customWidth="1"/>
    <col min="12821" max="12821" width="31.19921875" style="60" customWidth="1"/>
    <col min="12822" max="12822" width="2.09765625" style="60" customWidth="1"/>
    <col min="12823" max="12823" width="11.8984375" style="60" customWidth="1"/>
    <col min="12824" max="12824" width="41.19921875" style="60" customWidth="1"/>
    <col min="12825" max="12825" width="12.5" style="60" bestFit="1" customWidth="1"/>
    <col min="12826" max="12826" width="14.09765625" style="60" customWidth="1"/>
    <col min="12827" max="12827" width="4.5" style="60" customWidth="1"/>
    <col min="12828" max="12840" width="12.8984375" style="60" customWidth="1"/>
    <col min="12841" max="12841" width="22.19921875" style="60" customWidth="1"/>
    <col min="12842" max="12898" width="13.69921875" style="60" customWidth="1"/>
    <col min="12899" max="12899" width="13.5" style="60" bestFit="1" customWidth="1"/>
    <col min="12900" max="12905" width="13.69921875" style="60" customWidth="1"/>
    <col min="12906" max="12906" width="13.5" style="60" bestFit="1" customWidth="1"/>
    <col min="12907" max="13075" width="13.69921875" style="60" customWidth="1"/>
    <col min="13076" max="13076" width="10" style="60" customWidth="1"/>
    <col min="13077" max="13077" width="31.19921875" style="60" customWidth="1"/>
    <col min="13078" max="13078" width="2.09765625" style="60" customWidth="1"/>
    <col min="13079" max="13079" width="11.8984375" style="60" customWidth="1"/>
    <col min="13080" max="13080" width="41.19921875" style="60" customWidth="1"/>
    <col min="13081" max="13081" width="12.5" style="60" bestFit="1" customWidth="1"/>
    <col min="13082" max="13082" width="14.09765625" style="60" customWidth="1"/>
    <col min="13083" max="13083" width="4.5" style="60" customWidth="1"/>
    <col min="13084" max="13096" width="12.8984375" style="60" customWidth="1"/>
    <col min="13097" max="13097" width="22.19921875" style="60" customWidth="1"/>
    <col min="13098" max="13154" width="13.69921875" style="60" customWidth="1"/>
    <col min="13155" max="13155" width="13.5" style="60" bestFit="1" customWidth="1"/>
    <col min="13156" max="13161" width="13.69921875" style="60" customWidth="1"/>
    <col min="13162" max="13162" width="13.5" style="60" bestFit="1" customWidth="1"/>
    <col min="13163" max="13331" width="13.69921875" style="60" customWidth="1"/>
    <col min="13332" max="13332" width="10" style="60" customWidth="1"/>
    <col min="13333" max="13333" width="31.19921875" style="60" customWidth="1"/>
    <col min="13334" max="13334" width="2.09765625" style="60" customWidth="1"/>
    <col min="13335" max="13335" width="11.8984375" style="60" customWidth="1"/>
    <col min="13336" max="13336" width="41.19921875" style="60" customWidth="1"/>
    <col min="13337" max="13337" width="12.5" style="60" bestFit="1" customWidth="1"/>
    <col min="13338" max="13338" width="14.09765625" style="60" customWidth="1"/>
    <col min="13339" max="13339" width="4.5" style="60" customWidth="1"/>
    <col min="13340" max="13352" width="12.8984375" style="60" customWidth="1"/>
    <col min="13353" max="13353" width="22.19921875" style="60" customWidth="1"/>
    <col min="13354" max="13410" width="13.69921875" style="60" customWidth="1"/>
    <col min="13411" max="13411" width="13.5" style="60" bestFit="1" customWidth="1"/>
    <col min="13412" max="13417" width="13.69921875" style="60" customWidth="1"/>
    <col min="13418" max="13418" width="13.5" style="60" bestFit="1" customWidth="1"/>
    <col min="13419" max="13587" width="13.69921875" style="60" customWidth="1"/>
    <col min="13588" max="13588" width="10" style="60" customWidth="1"/>
    <col min="13589" max="13589" width="31.19921875" style="60" customWidth="1"/>
    <col min="13590" max="13590" width="2.09765625" style="60" customWidth="1"/>
    <col min="13591" max="13591" width="11.8984375" style="60" customWidth="1"/>
    <col min="13592" max="13592" width="41.19921875" style="60" customWidth="1"/>
    <col min="13593" max="13593" width="12.5" style="60" bestFit="1" customWidth="1"/>
    <col min="13594" max="13594" width="14.09765625" style="60" customWidth="1"/>
    <col min="13595" max="13595" width="4.5" style="60" customWidth="1"/>
    <col min="13596" max="13608" width="12.8984375" style="60" customWidth="1"/>
    <col min="13609" max="13609" width="22.19921875" style="60" customWidth="1"/>
    <col min="13610" max="13666" width="13.69921875" style="60" customWidth="1"/>
    <col min="13667" max="13667" width="13.5" style="60" bestFit="1" customWidth="1"/>
    <col min="13668" max="13673" width="13.69921875" style="60" customWidth="1"/>
    <col min="13674" max="13674" width="13.5" style="60" bestFit="1" customWidth="1"/>
    <col min="13675" max="13843" width="13.69921875" style="60" customWidth="1"/>
    <col min="13844" max="13844" width="10" style="60" customWidth="1"/>
    <col min="13845" max="13845" width="31.19921875" style="60" customWidth="1"/>
    <col min="13846" max="13846" width="2.09765625" style="60" customWidth="1"/>
    <col min="13847" max="13847" width="11.8984375" style="60" customWidth="1"/>
    <col min="13848" max="13848" width="41.19921875" style="60" customWidth="1"/>
    <col min="13849" max="13849" width="12.5" style="60" bestFit="1" customWidth="1"/>
    <col min="13850" max="13850" width="14.09765625" style="60" customWidth="1"/>
    <col min="13851" max="13851" width="4.5" style="60" customWidth="1"/>
    <col min="13852" max="13864" width="12.8984375" style="60" customWidth="1"/>
    <col min="13865" max="13865" width="22.19921875" style="60" customWidth="1"/>
    <col min="13866" max="13922" width="13.69921875" style="60" customWidth="1"/>
    <col min="13923" max="13923" width="13.5" style="60" bestFit="1" customWidth="1"/>
    <col min="13924" max="13929" width="13.69921875" style="60" customWidth="1"/>
    <col min="13930" max="13930" width="13.5" style="60" bestFit="1" customWidth="1"/>
    <col min="13931" max="14099" width="13.69921875" style="60" customWidth="1"/>
    <col min="14100" max="14100" width="10" style="60" customWidth="1"/>
    <col min="14101" max="14101" width="31.19921875" style="60" customWidth="1"/>
    <col min="14102" max="14102" width="2.09765625" style="60" customWidth="1"/>
    <col min="14103" max="14103" width="11.8984375" style="60" customWidth="1"/>
    <col min="14104" max="14104" width="41.19921875" style="60" customWidth="1"/>
    <col min="14105" max="14105" width="12.5" style="60" bestFit="1" customWidth="1"/>
    <col min="14106" max="14106" width="14.09765625" style="60" customWidth="1"/>
    <col min="14107" max="14107" width="4.5" style="60" customWidth="1"/>
    <col min="14108" max="14120" width="12.8984375" style="60" customWidth="1"/>
    <col min="14121" max="14121" width="22.19921875" style="60" customWidth="1"/>
    <col min="14122" max="14178" width="13.69921875" style="60" customWidth="1"/>
    <col min="14179" max="14179" width="13.5" style="60" bestFit="1" customWidth="1"/>
    <col min="14180" max="14185" width="13.69921875" style="60" customWidth="1"/>
    <col min="14186" max="14186" width="13.5" style="60" bestFit="1" customWidth="1"/>
    <col min="14187" max="14355" width="13.69921875" style="60" customWidth="1"/>
    <col min="14356" max="14356" width="10" style="60" customWidth="1"/>
    <col min="14357" max="14357" width="31.19921875" style="60" customWidth="1"/>
    <col min="14358" max="14358" width="2.09765625" style="60" customWidth="1"/>
    <col min="14359" max="14359" width="11.8984375" style="60" customWidth="1"/>
    <col min="14360" max="14360" width="41.19921875" style="60" customWidth="1"/>
    <col min="14361" max="14361" width="12.5" style="60" bestFit="1" customWidth="1"/>
    <col min="14362" max="14362" width="14.09765625" style="60" customWidth="1"/>
    <col min="14363" max="14363" width="4.5" style="60" customWidth="1"/>
    <col min="14364" max="14376" width="12.8984375" style="60" customWidth="1"/>
    <col min="14377" max="14377" width="22.19921875" style="60" customWidth="1"/>
    <col min="14378" max="14434" width="13.69921875" style="60" customWidth="1"/>
    <col min="14435" max="14435" width="13.5" style="60" bestFit="1" customWidth="1"/>
    <col min="14436" max="14441" width="13.69921875" style="60" customWidth="1"/>
    <col min="14442" max="14442" width="13.5" style="60" bestFit="1" customWidth="1"/>
    <col min="14443" max="14611" width="13.69921875" style="60" customWidth="1"/>
    <col min="14612" max="14612" width="10" style="60" customWidth="1"/>
    <col min="14613" max="14613" width="31.19921875" style="60" customWidth="1"/>
    <col min="14614" max="14614" width="2.09765625" style="60" customWidth="1"/>
    <col min="14615" max="14615" width="11.8984375" style="60" customWidth="1"/>
    <col min="14616" max="14616" width="41.19921875" style="60" customWidth="1"/>
    <col min="14617" max="14617" width="12.5" style="60" bestFit="1" customWidth="1"/>
    <col min="14618" max="14618" width="14.09765625" style="60" customWidth="1"/>
    <col min="14619" max="14619" width="4.5" style="60" customWidth="1"/>
    <col min="14620" max="14632" width="12.8984375" style="60" customWidth="1"/>
    <col min="14633" max="14633" width="22.19921875" style="60" customWidth="1"/>
    <col min="14634" max="14690" width="13.69921875" style="60" customWidth="1"/>
    <col min="14691" max="14691" width="13.5" style="60" bestFit="1" customWidth="1"/>
    <col min="14692" max="14697" width="13.69921875" style="60" customWidth="1"/>
    <col min="14698" max="14698" width="13.5" style="60" bestFit="1" customWidth="1"/>
    <col min="14699" max="14867" width="13.69921875" style="60" customWidth="1"/>
    <col min="14868" max="14868" width="10" style="60" customWidth="1"/>
    <col min="14869" max="14869" width="31.19921875" style="60" customWidth="1"/>
    <col min="14870" max="14870" width="2.09765625" style="60" customWidth="1"/>
    <col min="14871" max="14871" width="11.8984375" style="60" customWidth="1"/>
    <col min="14872" max="14872" width="41.19921875" style="60" customWidth="1"/>
    <col min="14873" max="14873" width="12.5" style="60" bestFit="1" customWidth="1"/>
    <col min="14874" max="14874" width="14.09765625" style="60" customWidth="1"/>
    <col min="14875" max="14875" width="4.5" style="60" customWidth="1"/>
    <col min="14876" max="14888" width="12.8984375" style="60" customWidth="1"/>
    <col min="14889" max="14889" width="22.19921875" style="60" customWidth="1"/>
    <col min="14890" max="14946" width="13.69921875" style="60" customWidth="1"/>
    <col min="14947" max="14947" width="13.5" style="60" bestFit="1" customWidth="1"/>
    <col min="14948" max="14953" width="13.69921875" style="60" customWidth="1"/>
    <col min="14954" max="14954" width="13.5" style="60" bestFit="1" customWidth="1"/>
    <col min="14955" max="15123" width="13.69921875" style="60" customWidth="1"/>
    <col min="15124" max="15124" width="10" style="60" customWidth="1"/>
    <col min="15125" max="15125" width="31.19921875" style="60" customWidth="1"/>
    <col min="15126" max="15126" width="2.09765625" style="60" customWidth="1"/>
    <col min="15127" max="15127" width="11.8984375" style="60" customWidth="1"/>
    <col min="15128" max="15128" width="41.19921875" style="60" customWidth="1"/>
    <col min="15129" max="15129" width="12.5" style="60" bestFit="1" customWidth="1"/>
    <col min="15130" max="15130" width="14.09765625" style="60" customWidth="1"/>
    <col min="15131" max="15131" width="4.5" style="60" customWidth="1"/>
    <col min="15132" max="15144" width="12.8984375" style="60" customWidth="1"/>
    <col min="15145" max="15145" width="22.19921875" style="60" customWidth="1"/>
    <col min="15146" max="15202" width="13.69921875" style="60" customWidth="1"/>
    <col min="15203" max="15203" width="13.5" style="60" bestFit="1" customWidth="1"/>
    <col min="15204" max="15209" width="13.69921875" style="60" customWidth="1"/>
    <col min="15210" max="15210" width="13.5" style="60" bestFit="1" customWidth="1"/>
    <col min="15211" max="15379" width="13.69921875" style="60" customWidth="1"/>
    <col min="15380" max="15380" width="10" style="60" customWidth="1"/>
    <col min="15381" max="15381" width="31.19921875" style="60" customWidth="1"/>
    <col min="15382" max="15382" width="2.09765625" style="60" customWidth="1"/>
    <col min="15383" max="15383" width="11.8984375" style="60" customWidth="1"/>
    <col min="15384" max="15384" width="41.19921875" style="60" customWidth="1"/>
    <col min="15385" max="15385" width="12.5" style="60" bestFit="1" customWidth="1"/>
    <col min="15386" max="15386" width="14.09765625" style="60" customWidth="1"/>
    <col min="15387" max="15387" width="4.5" style="60" customWidth="1"/>
    <col min="15388" max="15400" width="12.8984375" style="60" customWidth="1"/>
    <col min="15401" max="15401" width="22.19921875" style="60" customWidth="1"/>
    <col min="15402" max="15458" width="13.69921875" style="60" customWidth="1"/>
    <col min="15459" max="15459" width="13.5" style="60" bestFit="1" customWidth="1"/>
    <col min="15460" max="15465" width="13.69921875" style="60" customWidth="1"/>
    <col min="15466" max="15466" width="13.5" style="60" bestFit="1" customWidth="1"/>
    <col min="15467" max="15635" width="13.69921875" style="60" customWidth="1"/>
    <col min="15636" max="15636" width="10" style="60" customWidth="1"/>
    <col min="15637" max="15637" width="31.19921875" style="60" customWidth="1"/>
    <col min="15638" max="15638" width="2.09765625" style="60" customWidth="1"/>
    <col min="15639" max="15639" width="11.8984375" style="60" customWidth="1"/>
    <col min="15640" max="15640" width="41.19921875" style="60" customWidth="1"/>
    <col min="15641" max="15641" width="12.5" style="60" bestFit="1" customWidth="1"/>
    <col min="15642" max="15642" width="14.09765625" style="60" customWidth="1"/>
    <col min="15643" max="15643" width="4.5" style="60" customWidth="1"/>
    <col min="15644" max="15656" width="12.8984375" style="60" customWidth="1"/>
    <col min="15657" max="15657" width="22.19921875" style="60" customWidth="1"/>
    <col min="15658" max="15714" width="13.69921875" style="60" customWidth="1"/>
    <col min="15715" max="15715" width="13.5" style="60" bestFit="1" customWidth="1"/>
    <col min="15716" max="15721" width="13.69921875" style="60" customWidth="1"/>
    <col min="15722" max="15722" width="13.5" style="60" bestFit="1" customWidth="1"/>
    <col min="15723" max="15891" width="13.69921875" style="60" customWidth="1"/>
    <col min="15892" max="15892" width="10" style="60" customWidth="1"/>
    <col min="15893" max="15893" width="31.19921875" style="60" customWidth="1"/>
    <col min="15894" max="15894" width="2.09765625" style="60" customWidth="1"/>
    <col min="15895" max="15895" width="11.8984375" style="60" customWidth="1"/>
    <col min="15896" max="15896" width="41.19921875" style="60" customWidth="1"/>
    <col min="15897" max="15897" width="12.5" style="60" bestFit="1" customWidth="1"/>
    <col min="15898" max="15898" width="14.09765625" style="60" customWidth="1"/>
    <col min="15899" max="15899" width="4.5" style="60" customWidth="1"/>
    <col min="15900" max="15912" width="12.8984375" style="60" customWidth="1"/>
    <col min="15913" max="15913" width="22.19921875" style="60" customWidth="1"/>
    <col min="15914" max="15970" width="13.69921875" style="60" customWidth="1"/>
    <col min="15971" max="15971" width="13.5" style="60" bestFit="1" customWidth="1"/>
    <col min="15972" max="15977" width="13.69921875" style="60" customWidth="1"/>
    <col min="15978" max="15978" width="13.5" style="60" bestFit="1" customWidth="1"/>
    <col min="15979" max="16147" width="13.69921875" style="60" customWidth="1"/>
    <col min="16148" max="16148" width="10" style="60" customWidth="1"/>
    <col min="16149" max="16149" width="31.19921875" style="60" customWidth="1"/>
    <col min="16150" max="16150" width="2.09765625" style="60" customWidth="1"/>
    <col min="16151" max="16151" width="11.8984375" style="60" customWidth="1"/>
    <col min="16152" max="16152" width="41.19921875" style="60" customWidth="1"/>
    <col min="16153" max="16153" width="12.5" style="60" bestFit="1" customWidth="1"/>
    <col min="16154" max="16154" width="14.09765625" style="60" customWidth="1"/>
    <col min="16155" max="16155" width="4.5" style="60" customWidth="1"/>
    <col min="16156" max="16168" width="12.8984375" style="60" customWidth="1"/>
    <col min="16169" max="16169" width="22.19921875" style="60" customWidth="1"/>
    <col min="16170" max="16226" width="13.69921875" style="60" customWidth="1"/>
    <col min="16227" max="16227" width="13.5" style="60" bestFit="1" customWidth="1"/>
    <col min="16228" max="16233" width="13.69921875" style="60" customWidth="1"/>
    <col min="16234" max="16234" width="13.5" style="60" bestFit="1" customWidth="1"/>
    <col min="16235" max="16384" width="13.69921875" style="60" customWidth="1"/>
  </cols>
  <sheetData>
    <row r="1" spans="1:111">
      <c r="AQ1" s="353"/>
    </row>
    <row r="2" spans="1:111">
      <c r="AQ2" s="353"/>
    </row>
    <row r="3" spans="1:111" ht="16.8">
      <c r="A3" s="18"/>
      <c r="B3" s="18"/>
      <c r="C3" s="18"/>
      <c r="D3" s="18"/>
      <c r="E3" s="18"/>
      <c r="F3" s="18"/>
      <c r="G3" s="429" t="s">
        <v>879</v>
      </c>
      <c r="H3" s="429" t="s">
        <v>880</v>
      </c>
      <c r="I3" s="18" t="s">
        <v>881</v>
      </c>
      <c r="J3" s="18" t="str">
        <f>"Acct."&amp;$J$31</f>
        <v>Acct.CYFMethod</v>
      </c>
      <c r="K3" s="18" t="s">
        <v>882</v>
      </c>
      <c r="L3" s="18" t="s">
        <v>883</v>
      </c>
      <c r="M3" s="18"/>
      <c r="N3" s="18"/>
      <c r="O3" s="18"/>
      <c r="P3" s="18"/>
      <c r="Q3" s="18"/>
      <c r="R3" s="18"/>
      <c r="S3" s="18"/>
      <c r="T3" s="18"/>
      <c r="U3" s="18"/>
      <c r="V3" s="18"/>
      <c r="W3" s="18"/>
      <c r="X3" s="18"/>
      <c r="Y3" s="18"/>
      <c r="Z3" s="429"/>
      <c r="AA3" s="18"/>
      <c r="AB3" s="18"/>
      <c r="AC3" s="373"/>
      <c r="AD3" s="373"/>
      <c r="AE3" s="373"/>
      <c r="AF3" s="373"/>
      <c r="AG3" s="373"/>
      <c r="AH3" s="18"/>
      <c r="AI3" s="18"/>
      <c r="AJ3" s="18"/>
      <c r="AK3" s="18"/>
      <c r="AL3" s="18"/>
      <c r="AM3" s="18"/>
      <c r="AN3" s="18" t="str">
        <f>AN$20&amp;"."&amp;AN$21</f>
        <v>ACT2019.YTD</v>
      </c>
      <c r="AO3" s="18" t="str">
        <f>AO$20&amp;"."&amp;AO$21</f>
        <v>ACT2020.YTD</v>
      </c>
      <c r="AP3" s="18" t="str">
        <f>AP$20&amp;"."&amp;AP$21</f>
        <v>ACT2020.P8</v>
      </c>
      <c r="AQ3" s="18"/>
      <c r="AR3" s="18" t="str">
        <f>AR$20&amp;"."&amp;AR$21</f>
        <v>ACT2020.P8</v>
      </c>
      <c r="AS3" s="18" t="str">
        <f>AS$20&amp;"."&amp;AS$21</f>
        <v>ACT2020.P7</v>
      </c>
      <c r="AT3" s="18" t="str">
        <f>AT$20&amp;"."&amp;AT$21</f>
        <v>ACT2020.P6</v>
      </c>
      <c r="AU3" s="18" t="str">
        <f t="shared" ref="AU3:AW3" si="0">AU$20&amp;"."&amp;AU$21</f>
        <v>BUD2020.TOT</v>
      </c>
      <c r="AV3" s="18" t="str">
        <f t="shared" si="0"/>
        <v>BUD2020.YTD</v>
      </c>
      <c r="AW3" s="18" t="str">
        <f t="shared" si="0"/>
        <v>BUD2020.P8</v>
      </c>
      <c r="AX3" s="279" t="str">
        <f t="shared" ref="AX3:CG3" si="1">AX20&amp;".P"&amp;AX21</f>
        <v>ACT2020.P1</v>
      </c>
      <c r="AY3" s="18" t="str">
        <f t="shared" si="1"/>
        <v>ACT2020.P2</v>
      </c>
      <c r="AZ3" s="18" t="str">
        <f t="shared" si="1"/>
        <v>ACT2020.P3</v>
      </c>
      <c r="BA3" s="18" t="str">
        <f t="shared" si="1"/>
        <v>ACT2020.P4</v>
      </c>
      <c r="BB3" s="18" t="str">
        <f t="shared" si="1"/>
        <v>ACT2020.P5</v>
      </c>
      <c r="BC3" s="18" t="str">
        <f t="shared" si="1"/>
        <v>ACT2020.P6</v>
      </c>
      <c r="BD3" s="18" t="str">
        <f t="shared" si="1"/>
        <v>ACT2020.P7</v>
      </c>
      <c r="BE3" s="18" t="str">
        <f t="shared" si="1"/>
        <v>ACT2020.P8</v>
      </c>
      <c r="BF3" s="18" t="str">
        <f t="shared" si="1"/>
        <v>ACT2020.P9</v>
      </c>
      <c r="BG3" s="18" t="str">
        <f t="shared" si="1"/>
        <v>ACT2020.P10</v>
      </c>
      <c r="BH3" s="18" t="str">
        <f t="shared" si="1"/>
        <v>ACT2020.P11</v>
      </c>
      <c r="BI3" s="18" t="str">
        <f t="shared" si="1"/>
        <v>ACT2020.P12</v>
      </c>
      <c r="BJ3" s="18" t="str">
        <f t="shared" si="1"/>
        <v>BUD2020.P1</v>
      </c>
      <c r="BK3" s="18" t="str">
        <f t="shared" si="1"/>
        <v>BUD2020.P2</v>
      </c>
      <c r="BL3" s="18" t="str">
        <f t="shared" si="1"/>
        <v>BUD2020.P3</v>
      </c>
      <c r="BM3" s="18" t="str">
        <f t="shared" si="1"/>
        <v>BUD2020.P4</v>
      </c>
      <c r="BN3" s="18" t="str">
        <f t="shared" si="1"/>
        <v>BUD2020.P5</v>
      </c>
      <c r="BO3" s="18" t="str">
        <f t="shared" si="1"/>
        <v>BUD2020.P6</v>
      </c>
      <c r="BP3" s="18" t="str">
        <f t="shared" si="1"/>
        <v>BUD2020.P7</v>
      </c>
      <c r="BQ3" s="18" t="str">
        <f t="shared" si="1"/>
        <v>BUD2020.P8</v>
      </c>
      <c r="BR3" s="18" t="str">
        <f t="shared" si="1"/>
        <v>BUD2020.P9</v>
      </c>
      <c r="BS3" s="18" t="str">
        <f t="shared" si="1"/>
        <v>BUD2020.P10</v>
      </c>
      <c r="BT3" s="18" t="str">
        <f t="shared" si="1"/>
        <v>BUD2020.P11</v>
      </c>
      <c r="BU3" s="18" t="str">
        <f t="shared" si="1"/>
        <v>BUD2020.P12</v>
      </c>
      <c r="BV3" s="18" t="str">
        <f t="shared" si="1"/>
        <v>ACT2019.P1</v>
      </c>
      <c r="BW3" s="18" t="str">
        <f t="shared" si="1"/>
        <v>ACT2019.P2</v>
      </c>
      <c r="BX3" s="18" t="str">
        <f t="shared" si="1"/>
        <v>ACT2019.P3</v>
      </c>
      <c r="BY3" s="18" t="str">
        <f t="shared" si="1"/>
        <v>ACT2019.P4</v>
      </c>
      <c r="BZ3" s="18" t="str">
        <f t="shared" si="1"/>
        <v>ACT2019.P5</v>
      </c>
      <c r="CA3" s="18" t="str">
        <f t="shared" si="1"/>
        <v>ACT2019.P6</v>
      </c>
      <c r="CB3" s="18" t="str">
        <f t="shared" si="1"/>
        <v>ACT2019.P7</v>
      </c>
      <c r="CC3" s="18" t="str">
        <f t="shared" si="1"/>
        <v>ACT2019.P8</v>
      </c>
      <c r="CD3" s="18" t="str">
        <f t="shared" si="1"/>
        <v>ACT2019.P9</v>
      </c>
      <c r="CE3" s="18" t="str">
        <f t="shared" si="1"/>
        <v>ACT2019.P10</v>
      </c>
      <c r="CF3" s="18" t="str">
        <f t="shared" si="1"/>
        <v>ACT2019.P11</v>
      </c>
      <c r="CG3" s="18" t="str">
        <f t="shared" si="1"/>
        <v>ACT2019.P12</v>
      </c>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row>
    <row r="4" spans="1:111" ht="16.8">
      <c r="C4" s="13"/>
      <c r="D4" s="60" t="s">
        <v>663</v>
      </c>
      <c r="E4" s="5" t="str">
        <f>IF(ROW()&lt;28,"","[Save]")</f>
        <v/>
      </c>
      <c r="F4" s="101"/>
      <c r="G4" s="6"/>
      <c r="H4" s="6"/>
      <c r="I4" s="9"/>
      <c r="J4" s="9"/>
      <c r="K4" s="9"/>
      <c r="L4" s="28"/>
      <c r="M4" s="419">
        <f>AX4</f>
        <v>0</v>
      </c>
      <c r="N4" s="419">
        <f>IF(OR(N$21&lt;=$J$20,$A4=""),AY4,IF($J4="NoFcst",0,IF($AA4="Fixed",$AC4*(1+CV4),IF($J4="RemBud",BK4*(1+CV4),IF($J4="Rolling12",($AH4*BW4)*(1+CV4),IF($AA4="PctBud",($AI4*BK4)*(1+CV4),IF($J4="CapBud",MIN(MAX($AU4-SUM($M4:M4),0),BK4)*(1+CV4),IF($J4="Trend",CI4*(1+CV4),$AO4/$AO$26*N$26*(1+CV4)))))))))</f>
        <v>0</v>
      </c>
      <c r="O4" s="419">
        <f>IF(OR(O$21&lt;=$J$20,$A4=""),AZ4,IF($J4="NoFcst",0,IF($AA4="Fixed",$AC4*(1+CW4),IF($J4="RemBud",BL4*(1+CW4),IF($J4="Rolling12",($AH4*BX4)*(1+CW4),IF($AA4="PctBud",($AI4*BL4)*(1+CW4),IF($J4="CapBud",MIN(MAX($AU4-SUM($M4:N4),0),BL4)*(1+CW4),IF($J4="Trend",CJ4*(1+CW4),$AO4/$AO$26*O$26*(1+CW4)))))))))</f>
        <v>0</v>
      </c>
      <c r="P4" s="419">
        <f>IF(OR(P$21&lt;=$J$20,$A4=""),BA4,IF($J4="NoFcst",0,IF($AA4="Fixed",$AC4*(1+CX4),IF($J4="RemBud",BM4*(1+CX4),IF($J4="Rolling12",($AH4*BY4)*(1+CX4),IF($AA4="PctBud",($AI4*BM4)*(1+CX4),IF($J4="CapBud",MIN(MAX($AU4-SUM($M4:O4),0),BM4)*(1+CX4),IF($J4="Trend",CK4*(1+CX4),$AO4/$AO$26*P$26*(1+CX4)))))))))</f>
        <v>0</v>
      </c>
      <c r="Q4" s="419">
        <f>IF(OR(Q$21&lt;=$J$20,$A4=""),BB4,IF($J4="NoFcst",0,IF($AA4="Fixed",$AC4*(1+CY4),IF($J4="RemBud",BN4*(1+CY4),IF($J4="Rolling12",($AH4*BZ4)*(1+CY4),IF($AA4="PctBud",($AI4*BN4)*(1+CY4),IF($J4="CapBud",MIN(MAX($AU4-SUM($M4:P4),0),BN4)*(1+CY4),IF($J4="Trend",CL4*(1+CY4),$AO4/$AO$26*Q$26*(1+CY4)))))))))</f>
        <v>0</v>
      </c>
      <c r="R4" s="419">
        <f>IF(OR(R$21&lt;=$J$20,$A4=""),BC4,IF($J4="NoFcst",0,IF($AA4="Fixed",$AC4*(1+CZ4),IF($J4="RemBud",BO4*(1+CZ4),IF($J4="Rolling12",($AH4*CA4)*(1+CZ4),IF($AA4="PctBud",($AI4*BO4)*(1+CZ4),IF($J4="CapBud",MIN(MAX($AU4-SUM($M4:Q4),0),BO4)*(1+CZ4),IF($J4="Trend",CM4*(1+CZ4),$AO4/$AO$26*R$26*(1+CZ4)))))))))</f>
        <v>0</v>
      </c>
      <c r="S4" s="419">
        <f>IF(OR(S$21&lt;=$J$20,$A4=""),BD4,IF($J4="NoFcst",0,IF($AA4="Fixed",$AC4*(1+DA4),IF($J4="RemBud",BP4*(1+DA4),IF($J4="Rolling12",($AH4*CB4)*(1+DA4),IF($AA4="PctBud",($AI4*BP4)*(1+DA4),IF($J4="CapBud",MIN(MAX($AU4-SUM($M4:R4),0),BP4)*(1+DA4),IF($J4="Trend",CN4*(1+DA4),$AO4/$AO$26*S$26*(1+DA4)))))))))</f>
        <v>0</v>
      </c>
      <c r="T4" s="419">
        <f>IF(OR(T$21&lt;=$J$20,$A4=""),BE4,IF($J4="NoFcst",0,IF($AA4="Fixed",$AC4*(1+DB4),IF($J4="RemBud",BQ4*(1+DB4),IF($J4="Rolling12",($AH4*CC4)*(1+DB4),IF($AA4="PctBud",($AI4*BQ4)*(1+DB4),IF($J4="CapBud",MIN(MAX($AU4-SUM($M4:S4),0),BQ4)*(1+DB4),IF($J4="Trend",CO4*(1+DB4),$AO4/$AO$26*T$26*(1+DB4)))))))))</f>
        <v>0</v>
      </c>
      <c r="U4" s="419">
        <f>IF(OR(U$21&lt;=$J$20,$A4=""),BF4,IF($J4="NoFcst",0,IF($AA4="Fixed",$AC4*(1+DC4),IF($J4="RemBud",BR4*(1+DC4),IF($J4="Rolling12",($AH4*CD4)*(1+DC4),IF($AA4="PctBud",($AI4*BR4)*(1+DC4),IF($J4="CapBud",MIN(MAX($AU4-SUM($M4:T4),0),BR4)*(1+DC4),IF($J4="Trend",CP4*(1+DC4),$AO4/$AO$26*U$26*(1+DC4)))))))))</f>
        <v>0</v>
      </c>
      <c r="V4" s="419">
        <f>IF(OR(V$21&lt;=$J$20,$A4=""),BG4,IF($J4="NoFcst",0,IF($AA4="Fixed",$AC4*(1+DD4),IF($J4="RemBud",BS4*(1+DD4),IF($J4="Rolling12",($AH4*CE4)*(1+DD4),IF($AA4="PctBud",($AI4*BS4)*(1+DD4),IF($J4="CapBud",MIN(MAX($AU4-SUM($M4:U4),0),BS4)*(1+DD4),IF($J4="Trend",CQ4*(1+DD4),$AO4/$AO$26*V$26*(1+DD4)))))))))</f>
        <v>0</v>
      </c>
      <c r="W4" s="419">
        <f>IF(OR(W$21&lt;=$J$20,$A4=""),BH4,IF($J4="NoFcst",0,IF($AA4="Fixed",$AC4*(1+DE4),IF($J4="RemBud",BT4*(1+DE4),IF($J4="Rolling12",($AH4*CF4)*(1+DE4),IF($AA4="PctBud",($AI4*BT4)*(1+DE4),IF($J4="CapBud",MIN(MAX($AU4-SUM($M4:V4),0),BT4)*(1+DE4),IF($J4="Trend",CR4*(1+DE4),$AO4/$AO$26*W$26*(1+DE4)))))))))</f>
        <v>0</v>
      </c>
      <c r="X4" s="419">
        <f>IF(OR(X$21&lt;=$J$20,$A4=""),BI4,IF($J4="NoFcst",0,IF($AA4="Fixed",$AC4*(1+DF4),IF($J4="RemBud",BU4*(1+DF4),IF($J4="Rolling12",($AH4*CG4)*(1+DF4),IF($AA4="PctBud",($AI4*BU4)*(1+DF4),IF($J4="CapBud",MIN(MAX($AU4-SUM($M4:W4),0),BU4)*(1+DF4),IF($J4="Trend",CS4*(1+DF4),$AO4/$AO$26*X$26*(1+DF4)))))))))</f>
        <v>0</v>
      </c>
      <c r="Y4" s="3" t="str">
        <f>IF($A4="","",SUM(M4:X4))</f>
        <v/>
      </c>
      <c r="Z4" s="6">
        <f>1</f>
        <v>1</v>
      </c>
      <c r="AA4" s="393">
        <f>IF(LEFT(RIGHT($J4,4),1)&lt;&gt;"_",J4,LEFT($J4,LEN($J4)-4))</f>
        <v>0</v>
      </c>
      <c r="AB4" s="393" t="str">
        <f>IF(LEFT(RIGHT($J4,4),1)&lt;&gt;"_","YTD",RIGHT($J4,3))</f>
        <v>YTD</v>
      </c>
      <c r="AC4" s="374">
        <f>IF($AB4=$AE$47,$AE4,IF($AB4=$AF$47,$AF4,IF($AB4=$AG$47,$AG4,$AD4)))</f>
        <v>0</v>
      </c>
      <c r="AD4" s="375">
        <f>IF($AA4="Fixed",AO4/$J$20,IF(AO$25=0,0,AO4/AO$25))</f>
        <v>0</v>
      </c>
      <c r="AE4" s="375">
        <f>IF($AA4="Fixed",AP4,IF(AP$25=0,0,AP4/AP$25))</f>
        <v>0</v>
      </c>
      <c r="AF4" s="375">
        <f>IF($AA4="Fixed",AQ4/3,IF(AQ$25=0,0,AQ4/AQ$25))</f>
        <v>0</v>
      </c>
      <c r="AG4" s="375">
        <f>IF($AA4="Fixed",AU4/12,IF(AU$25=0,0,AU4/AU$25))</f>
        <v>0</v>
      </c>
      <c r="AH4" s="61" t="str">
        <f>IF($A4="","",IF(AN4=0,0,AO4/AN4))</f>
        <v/>
      </c>
      <c r="AI4" s="61" t="str">
        <f>IF($A4="","",IF(AV4=0,0,AO4/AV4))</f>
        <v/>
      </c>
      <c r="AJ4" s="61" t="str">
        <f>IF($A4="","",IF(AW4=0,0,AP4/AW4))</f>
        <v/>
      </c>
      <c r="AK4" s="61"/>
      <c r="AL4" s="61" t="str">
        <f>G4&amp;"_"&amp;H4</f>
        <v>_</v>
      </c>
      <c r="AM4" s="61" t="str" cm="1">
        <f t="array" ref="AM4">_xll.GetData("Code","Driver='"&amp;AL4&amp;"'",$AM$45)</f>
        <v/>
      </c>
      <c r="AN4" s="364">
        <v>0</v>
      </c>
      <c r="AO4" s="364">
        <v>0</v>
      </c>
      <c r="AP4" s="364">
        <v>0</v>
      </c>
      <c r="AQ4" s="352">
        <f>SUM(AR4:AT4)</f>
        <v>0</v>
      </c>
      <c r="AR4" s="352">
        <v>0</v>
      </c>
      <c r="AS4" s="352">
        <v>0</v>
      </c>
      <c r="AT4" s="352">
        <v>0</v>
      </c>
      <c r="AU4" s="364">
        <v>0</v>
      </c>
      <c r="AV4" s="364">
        <v>0</v>
      </c>
      <c r="AW4" s="364">
        <v>0</v>
      </c>
      <c r="AX4" s="280">
        <v>0</v>
      </c>
      <c r="AY4" s="3">
        <v>0</v>
      </c>
      <c r="AZ4" s="3">
        <v>0</v>
      </c>
      <c r="BA4" s="3">
        <v>0</v>
      </c>
      <c r="BB4" s="3">
        <v>0</v>
      </c>
      <c r="BC4" s="3">
        <v>0</v>
      </c>
      <c r="BD4" s="3">
        <v>0</v>
      </c>
      <c r="BE4" s="3">
        <v>0</v>
      </c>
      <c r="BF4" s="3">
        <v>0</v>
      </c>
      <c r="BG4" s="3">
        <v>0</v>
      </c>
      <c r="BH4" s="3">
        <v>0</v>
      </c>
      <c r="BI4" s="3">
        <v>0</v>
      </c>
      <c r="BJ4" s="3">
        <v>0</v>
      </c>
      <c r="BK4" s="3">
        <v>0</v>
      </c>
      <c r="BL4" s="3">
        <v>0</v>
      </c>
      <c r="BM4" s="3">
        <v>0</v>
      </c>
      <c r="BN4" s="3">
        <v>0</v>
      </c>
      <c r="BO4" s="3">
        <v>0</v>
      </c>
      <c r="BP4" s="3">
        <v>0</v>
      </c>
      <c r="BQ4" s="3">
        <v>0</v>
      </c>
      <c r="BR4" s="3">
        <v>0</v>
      </c>
      <c r="BS4" s="3">
        <v>0</v>
      </c>
      <c r="BT4" s="3">
        <v>0</v>
      </c>
      <c r="BU4" s="3">
        <v>0</v>
      </c>
      <c r="BV4" s="3">
        <v>0</v>
      </c>
      <c r="BW4" s="3">
        <v>0</v>
      </c>
      <c r="BX4" s="3">
        <v>0</v>
      </c>
      <c r="BY4" s="3">
        <v>0</v>
      </c>
      <c r="BZ4" s="3">
        <v>0</v>
      </c>
      <c r="CA4" s="3">
        <v>0</v>
      </c>
      <c r="CB4" s="3">
        <v>0</v>
      </c>
      <c r="CC4" s="3">
        <v>0</v>
      </c>
      <c r="CD4" s="3">
        <v>0</v>
      </c>
      <c r="CE4" s="3">
        <v>0</v>
      </c>
      <c r="CF4" s="3">
        <v>0</v>
      </c>
      <c r="CG4" s="3">
        <v>0</v>
      </c>
      <c r="CH4" s="3">
        <f>AX4</f>
        <v>0</v>
      </c>
      <c r="CI4" s="3" cm="1">
        <f t="array" ref="CI4">IF(OR(CI$21&lt;=$J$20,$A4=""),AY4,TREND(BW4:CH4,BW$26:CH$26,CI$26))</f>
        <v>0</v>
      </c>
      <c r="CJ4" s="3" cm="1">
        <f t="array" ref="CJ4">IF(OR(CJ$21&lt;=$J$20,$A4=""),AZ4,TREND(BX4:CI4,BX$26:CI$26,CJ$26))</f>
        <v>0</v>
      </c>
      <c r="CK4" s="3" cm="1">
        <f t="array" ref="CK4">IF(OR(CK$21&lt;=$J$20,$A4=""),BA4,TREND(BY4:CJ4,BY$26:CJ$26,CK$26))</f>
        <v>0</v>
      </c>
      <c r="CL4" s="3" cm="1">
        <f t="array" ref="CL4">IF(OR(CL$21&lt;=$J$20,$A4=""),BB4,TREND(BZ4:CK4,BZ$26:CK$26,CL$26))</f>
        <v>0</v>
      </c>
      <c r="CM4" s="3" cm="1">
        <f t="array" ref="CM4">IF(OR(CM$21&lt;=$J$20,$A4=""),BC4,TREND(CA4:CL4,CA$26:CL$26,CM$26))</f>
        <v>0</v>
      </c>
      <c r="CN4" s="3" cm="1">
        <f t="array" ref="CN4">IF(OR(CN$21&lt;=$J$20,$A4=""),BD4,TREND(CB4:CM4,CB$26:CM$26,CN$26))</f>
        <v>0</v>
      </c>
      <c r="CO4" s="3" cm="1">
        <f t="array" ref="CO4">IF(OR(CO$21&lt;=$J$20,$A4=""),BE4,TREND(CC4:CN4,CC$26:CN$26,CO$26))</f>
        <v>0</v>
      </c>
      <c r="CP4" s="3" cm="1">
        <f t="array" ref="CP4">IF(OR(CP$21&lt;=$J$20,$A4=""),BF4,TREND(CD4:CO4,CD$26:CO$26,CP$26))</f>
        <v>0</v>
      </c>
      <c r="CQ4" s="3" cm="1">
        <f t="array" ref="CQ4">IF(OR(CQ$21&lt;=$J$20,$A4=""),BG4,TREND(CE4:CP4,CE$26:CP$26,CQ$26))</f>
        <v>0</v>
      </c>
      <c r="CR4" s="3" cm="1">
        <f t="array" ref="CR4">IF(OR(CR$21&lt;=$J$20,$A4=""),BH4,TREND(CF4:CQ4,CF$26:CQ$26,CR$26))</f>
        <v>0</v>
      </c>
      <c r="CS4" s="3" cm="1">
        <f t="array" ref="CS4">IF(OR(CS$21&lt;=$J$20,$A4=""),BI4,TREND(CG4:CR4,CG$26:CR$26,CS$26))</f>
        <v>0</v>
      </c>
      <c r="CT4" s="9" t="str">
        <f>IF(K4="KeyIP",$CU$26,IF(K4="KeyOP",$CU$27,$CU$28))</f>
        <v>0_S_KeyOth</v>
      </c>
      <c r="CU4" s="71" cm="1">
        <f t="array" aca="1" ref="CU4" ca="1">IF($K4="OthStat",CU$47,INDIRECT("CYFDRIVER!"&amp;CU$44&amp;$DG4))</f>
        <v>0</v>
      </c>
      <c r="CV4" s="71" cm="1">
        <f t="array" aca="1" ref="CV4" ca="1">IF($K4="OthStat",CV$47,INDIRECT("CYFDRIVER!"&amp;CV$44&amp;$DG4))</f>
        <v>0</v>
      </c>
      <c r="CW4" s="71" cm="1">
        <f t="array" aca="1" ref="CW4" ca="1">IF($K4="OthStat",CW$47,INDIRECT("CYFDRIVER!"&amp;CW$44&amp;$DG4))</f>
        <v>0</v>
      </c>
      <c r="CX4" s="71" cm="1">
        <f t="array" aca="1" ref="CX4" ca="1">IF($K4="OthStat",CX$47,INDIRECT("CYFDRIVER!"&amp;CX$44&amp;$DG4))</f>
        <v>0</v>
      </c>
      <c r="CY4" s="71" cm="1">
        <f t="array" aca="1" ref="CY4" ca="1">IF($K4="OthStat",CY$47,INDIRECT("CYFDRIVER!"&amp;CY$44&amp;$DG4))</f>
        <v>0</v>
      </c>
      <c r="CZ4" s="71" cm="1">
        <f t="array" aca="1" ref="CZ4" ca="1">IF($K4="OthStat",CZ$47,INDIRECT("CYFDRIVER!"&amp;CZ$44&amp;$DG4))</f>
        <v>0</v>
      </c>
      <c r="DA4" s="71" cm="1">
        <f t="array" aca="1" ref="DA4" ca="1">IF($K4="OthStat",DA$47,INDIRECT("CYFDRIVER!"&amp;DA$44&amp;$DG4))</f>
        <v>0</v>
      </c>
      <c r="DB4" s="71" cm="1">
        <f t="array" aca="1" ref="DB4" ca="1">IF($K4="OthStat",DB$47,INDIRECT("CYFDRIVER!"&amp;DB$44&amp;$DG4))</f>
        <v>0</v>
      </c>
      <c r="DC4" s="71" cm="1">
        <f t="array" aca="1" ref="DC4" ca="1">IF($K4="OthStat",DC$47,INDIRECT("CYFDRIVER!"&amp;DC$44&amp;$DG4))</f>
        <v>0</v>
      </c>
      <c r="DD4" s="71" cm="1">
        <f t="array" aca="1" ref="DD4" ca="1">IF($K4="OthStat",DD$47,INDIRECT("CYFDRIVER!"&amp;DD$44&amp;$DG4))</f>
        <v>0</v>
      </c>
      <c r="DE4" s="71" cm="1">
        <f t="array" aca="1" ref="DE4" ca="1">IF($K4="OthStat",DE$47,INDIRECT("CYFDRIVER!"&amp;DE$44&amp;$DG4))</f>
        <v>0</v>
      </c>
      <c r="DF4" s="71" cm="1">
        <f t="array" aca="1" ref="DF4" ca="1">IF($K4="OthStat",DF$47,INDIRECT("CYFDRIVER!"&amp;DF$44&amp;$DG4))</f>
        <v>0</v>
      </c>
      <c r="DG4" s="406">
        <f>IF(ISNA(MATCH(CT4,CYFDriver!A:A,0)),4,MATCH(CT4,CYFDriver!A:A,0))</f>
        <v>33</v>
      </c>
    </row>
    <row r="5" spans="1:111" ht="16.8">
      <c r="A5" s="15"/>
      <c r="B5" s="15"/>
      <c r="C5" s="15"/>
      <c r="D5" s="15"/>
      <c r="E5" s="15"/>
      <c r="F5" s="15"/>
      <c r="G5" s="394" t="str">
        <f t="shared" ref="G5:L5" si="2">G3</f>
        <v>Dept.Dept</v>
      </c>
      <c r="H5" s="394" t="str">
        <f t="shared" si="2"/>
        <v>ACCT.Acct</v>
      </c>
      <c r="I5" s="448" t="str">
        <f t="shared" si="2"/>
        <v>Acct.Description</v>
      </c>
      <c r="J5" s="448" t="str">
        <f t="shared" si="2"/>
        <v>Acct.CYFMethod</v>
      </c>
      <c r="K5" s="448" t="str">
        <f t="shared" si="2"/>
        <v>Acct.BudgetType</v>
      </c>
      <c r="L5" s="448" t="str">
        <f t="shared" si="2"/>
        <v>Acct.FSDetail</v>
      </c>
      <c r="M5" s="15"/>
      <c r="N5" s="15"/>
      <c r="O5" s="15"/>
      <c r="P5" s="15"/>
      <c r="Q5" s="15"/>
      <c r="R5" s="15"/>
      <c r="S5" s="15"/>
      <c r="T5" s="15"/>
      <c r="U5" s="15"/>
      <c r="V5" s="15"/>
      <c r="W5" s="15"/>
      <c r="X5" s="15"/>
      <c r="Y5" s="15"/>
      <c r="Z5" s="394"/>
      <c r="AA5" s="394"/>
      <c r="AB5" s="394"/>
      <c r="AC5" s="376"/>
      <c r="AD5" s="376"/>
      <c r="AE5" s="376"/>
      <c r="AF5" s="376"/>
      <c r="AG5" s="376"/>
      <c r="AH5" s="15"/>
      <c r="AI5" s="15"/>
      <c r="AJ5" s="15"/>
      <c r="AK5" s="15"/>
      <c r="AL5" s="15"/>
      <c r="AM5" s="15"/>
      <c r="AN5" s="15" t="str">
        <f>AN3</f>
        <v>ACT2019.YTD</v>
      </c>
      <c r="AO5" s="15" t="str">
        <f>AO3</f>
        <v>ACT2020.YTD</v>
      </c>
      <c r="AP5" s="15" t="str">
        <f>AP3</f>
        <v>ACT2020.P8</v>
      </c>
      <c r="AQ5" s="15"/>
      <c r="AR5" s="15" t="str">
        <f t="shared" ref="AR5:AT5" si="3">AR3</f>
        <v>ACT2020.P8</v>
      </c>
      <c r="AS5" s="15" t="str">
        <f t="shared" si="3"/>
        <v>ACT2020.P7</v>
      </c>
      <c r="AT5" s="15" t="str">
        <f t="shared" si="3"/>
        <v>ACT2020.P6</v>
      </c>
      <c r="AU5" s="15" t="str">
        <f t="shared" ref="AU5:CG5" si="4">AU3</f>
        <v>BUD2020.TOT</v>
      </c>
      <c r="AV5" s="15" t="str">
        <f t="shared" si="4"/>
        <v>BUD2020.YTD</v>
      </c>
      <c r="AW5" s="15" t="str">
        <f t="shared" ref="AW5" si="5">AW3</f>
        <v>BUD2020.P8</v>
      </c>
      <c r="AX5" s="281" t="str">
        <f t="shared" si="4"/>
        <v>ACT2020.P1</v>
      </c>
      <c r="AY5" s="15" t="str">
        <f t="shared" si="4"/>
        <v>ACT2020.P2</v>
      </c>
      <c r="AZ5" s="15" t="str">
        <f t="shared" si="4"/>
        <v>ACT2020.P3</v>
      </c>
      <c r="BA5" s="15" t="str">
        <f t="shared" si="4"/>
        <v>ACT2020.P4</v>
      </c>
      <c r="BB5" s="15" t="str">
        <f t="shared" si="4"/>
        <v>ACT2020.P5</v>
      </c>
      <c r="BC5" s="15" t="str">
        <f t="shared" si="4"/>
        <v>ACT2020.P6</v>
      </c>
      <c r="BD5" s="15" t="str">
        <f t="shared" si="4"/>
        <v>ACT2020.P7</v>
      </c>
      <c r="BE5" s="15" t="str">
        <f t="shared" si="4"/>
        <v>ACT2020.P8</v>
      </c>
      <c r="BF5" s="15" t="str">
        <f t="shared" si="4"/>
        <v>ACT2020.P9</v>
      </c>
      <c r="BG5" s="15" t="str">
        <f t="shared" si="4"/>
        <v>ACT2020.P10</v>
      </c>
      <c r="BH5" s="15" t="str">
        <f t="shared" si="4"/>
        <v>ACT2020.P11</v>
      </c>
      <c r="BI5" s="15" t="str">
        <f t="shared" si="4"/>
        <v>ACT2020.P12</v>
      </c>
      <c r="BJ5" s="15" t="str">
        <f t="shared" si="4"/>
        <v>BUD2020.P1</v>
      </c>
      <c r="BK5" s="15" t="str">
        <f t="shared" si="4"/>
        <v>BUD2020.P2</v>
      </c>
      <c r="BL5" s="15" t="str">
        <f t="shared" si="4"/>
        <v>BUD2020.P3</v>
      </c>
      <c r="BM5" s="15" t="str">
        <f t="shared" si="4"/>
        <v>BUD2020.P4</v>
      </c>
      <c r="BN5" s="15" t="str">
        <f t="shared" si="4"/>
        <v>BUD2020.P5</v>
      </c>
      <c r="BO5" s="15" t="str">
        <f t="shared" si="4"/>
        <v>BUD2020.P6</v>
      </c>
      <c r="BP5" s="15" t="str">
        <f t="shared" si="4"/>
        <v>BUD2020.P7</v>
      </c>
      <c r="BQ5" s="15" t="str">
        <f t="shared" si="4"/>
        <v>BUD2020.P8</v>
      </c>
      <c r="BR5" s="15" t="str">
        <f t="shared" si="4"/>
        <v>BUD2020.P9</v>
      </c>
      <c r="BS5" s="15" t="str">
        <f t="shared" si="4"/>
        <v>BUD2020.P10</v>
      </c>
      <c r="BT5" s="15" t="str">
        <f t="shared" si="4"/>
        <v>BUD2020.P11</v>
      </c>
      <c r="BU5" s="15" t="str">
        <f t="shared" si="4"/>
        <v>BUD2020.P12</v>
      </c>
      <c r="BV5" s="15" t="str">
        <f t="shared" si="4"/>
        <v>ACT2019.P1</v>
      </c>
      <c r="BW5" s="15" t="str">
        <f t="shared" si="4"/>
        <v>ACT2019.P2</v>
      </c>
      <c r="BX5" s="15" t="str">
        <f t="shared" si="4"/>
        <v>ACT2019.P3</v>
      </c>
      <c r="BY5" s="15" t="str">
        <f t="shared" si="4"/>
        <v>ACT2019.P4</v>
      </c>
      <c r="BZ5" s="15" t="str">
        <f t="shared" si="4"/>
        <v>ACT2019.P5</v>
      </c>
      <c r="CA5" s="15" t="str">
        <f t="shared" si="4"/>
        <v>ACT2019.P6</v>
      </c>
      <c r="CB5" s="15" t="str">
        <f t="shared" si="4"/>
        <v>ACT2019.P7</v>
      </c>
      <c r="CC5" s="15" t="str">
        <f t="shared" si="4"/>
        <v>ACT2019.P8</v>
      </c>
      <c r="CD5" s="15" t="str">
        <f t="shared" si="4"/>
        <v>ACT2019.P9</v>
      </c>
      <c r="CE5" s="15" t="str">
        <f t="shared" si="4"/>
        <v>ACT2019.P10</v>
      </c>
      <c r="CF5" s="15" t="str">
        <f t="shared" si="4"/>
        <v>ACT2019.P11</v>
      </c>
      <c r="CG5" s="15" t="str">
        <f t="shared" si="4"/>
        <v>ACT2019.P12</v>
      </c>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row>
    <row r="6" spans="1:111" ht="16.8">
      <c r="C6" s="13"/>
      <c r="D6" s="60" t="s">
        <v>666</v>
      </c>
      <c r="E6" s="5" t="str">
        <f>IF(ROW()&lt;28,"","[Save]")</f>
        <v/>
      </c>
      <c r="F6" s="101"/>
      <c r="G6" s="6"/>
      <c r="H6" s="6"/>
      <c r="I6" s="449"/>
      <c r="J6" s="449"/>
      <c r="K6" s="449"/>
      <c r="L6" s="449"/>
      <c r="M6" s="419">
        <f>AX6</f>
        <v>0</v>
      </c>
      <c r="N6" s="419" cm="1">
        <f t="array" ref="N6">IF(OR(N$21&lt;=$J$20,$A6=""),AY6,IF($J6="NoFcst",0,IF($J6="RemBud",BK6*(1+CV6),IF($J6="Rolling12",($AH6*BW6)*(1+CV6),IF($AA6="PctBud",($AI6*BK6)*(1+CV6),IF($J6="CapBud",MIN(MAX($AU6-SUM($M6:M6),0),BK6)*(1+CV6),IF($J6="Annual",($AO6/$AO$26*N$26)*(1+CV6),IF($J6="Trend",CI6*(1+CV6),($AC6*INDEX(N$22:N$24,(INDEX($G$22:$G$24,MATCH($AA6,$E$22:$E$24,0),1))))*(1+CV6)))))))))</f>
        <v>0</v>
      </c>
      <c r="O6" s="419" cm="1">
        <f t="array" ref="O6">IF(OR(O$21&lt;=$J$20,$A6=""),AZ6,IF($J6="NoFcst",0,IF($J6="RemBud",BL6*(1+CW6),IF($J6="Rolling12",($AH6*BX6)*(1+CW6),IF($AA6="PctBud",($AI6*BL6)*(1+CW6),IF($J6="CapBud",MIN(MAX($AU6-SUM($M6:N6),0),BL6)*(1+CW6),IF($J6="Annual",($AO6/$AO$26*O$26)*(1+CW6),IF($J6="Trend",CJ6*(1+CW6),($AC6*INDEX(O$22:O$24,(INDEX($G$22:$G$24,MATCH($AA6,$E$22:$E$24,0),1))))*(1+CW6)))))))))</f>
        <v>0</v>
      </c>
      <c r="P6" s="419" cm="1">
        <f t="array" ref="P6">IF(OR(P$21&lt;=$J$20,$A6=""),BA6,IF($J6="NoFcst",0,IF($J6="RemBud",BM6*(1+CX6),IF($J6="Rolling12",($AH6*BY6)*(1+CX6),IF($AA6="PctBud",($AI6*BM6)*(1+CX6),IF($J6="CapBud",MIN(MAX($AU6-SUM($M6:O6),0),BM6)*(1+CX6),IF($J6="Annual",($AO6/$AO$26*P$26)*(1+CX6),IF($J6="Trend",CK6*(1+CX6),($AC6*INDEX(P$22:P$24,(INDEX($G$22:$G$24,MATCH($AA6,$E$22:$E$24,0),1))))*(1+CX6)))))))))</f>
        <v>0</v>
      </c>
      <c r="Q6" s="419" cm="1">
        <f t="array" ref="Q6">IF(OR(Q$21&lt;=$J$20,$A6=""),BB6,IF($J6="NoFcst",0,IF($J6="RemBud",BN6*(1+CY6),IF($J6="Rolling12",($AH6*BZ6)*(1+CY6),IF($AA6="PctBud",($AI6*BN6)*(1+CY6),IF($J6="CapBud",MIN(MAX($AU6-SUM($M6:P6),0),BN6)*(1+CY6),IF($J6="Annual",($AO6/$AO$26*Q$26)*(1+CY6),IF($J6="Trend",CL6*(1+CY6),($AC6*INDEX(Q$22:Q$24,(INDEX($G$22:$G$24,MATCH($AA6,$E$22:$E$24,0),1))))*(1+CY6)))))))))</f>
        <v>0</v>
      </c>
      <c r="R6" s="419" cm="1">
        <f t="array" ref="R6">IF(OR(R$21&lt;=$J$20,$A6=""),BC6,IF($J6="NoFcst",0,IF($J6="RemBud",BO6*(1+CZ6),IF($J6="Rolling12",($AH6*CA6)*(1+CZ6),IF($AA6="PctBud",($AI6*BO6)*(1+CZ6),IF($J6="CapBud",MIN(MAX($AU6-SUM($M6:Q6),0),BO6)*(1+CZ6),IF($J6="Annual",($AO6/$AO$26*R$26)*(1+CZ6),IF($J6="Trend",CM6*(1+CZ6),($AC6*INDEX(R$22:R$24,(INDEX($G$22:$G$24,MATCH($AA6,$E$22:$E$24,0),1))))*(1+CZ6)))))))))</f>
        <v>0</v>
      </c>
      <c r="S6" s="419" cm="1">
        <f t="array" ref="S6">IF(OR(S$21&lt;=$J$20,$A6=""),BD6,IF($J6="NoFcst",0,IF($J6="RemBud",BP6*(1+DA6),IF($J6="Rolling12",($AH6*CB6)*(1+DA6),IF($AA6="PctBud",($AI6*BP6)*(1+DA6),IF($J6="CapBud",MIN(MAX($AU6-SUM($M6:R6),0),BP6)*(1+DA6),IF($J6="Annual",($AO6/$AO$26*S$26)*(1+DA6),IF($J6="Trend",CN6*(1+DA6),($AC6*INDEX(S$22:S$24,(INDEX($G$22:$G$24,MATCH($AA6,$E$22:$E$24,0),1))))*(1+DA6)))))))))</f>
        <v>0</v>
      </c>
      <c r="T6" s="419" cm="1">
        <f t="array" ref="T6">IF(OR(T$21&lt;=$J$20,$A6=""),BE6,IF($J6="NoFcst",0,IF($J6="RemBud",BQ6*(1+DB6),IF($J6="Rolling12",($AH6*CC6)*(1+DB6),IF($AA6="PctBud",($AI6*BQ6)*(1+DB6),IF($J6="CapBud",MIN(MAX($AU6-SUM($M6:S6),0),BQ6)*(1+DB6),IF($J6="Annual",($AO6/$AO$26*T$26)*(1+DB6),IF($J6="Trend",CO6*(1+DB6),($AC6*INDEX(T$22:T$24,(INDEX($G$22:$G$24,MATCH($AA6,$E$22:$E$24,0),1))))*(1+DB6)))))))))</f>
        <v>0</v>
      </c>
      <c r="U6" s="419" cm="1">
        <f t="array" ref="U6">IF(OR(U$21&lt;=$J$20,$A6=""),BF6,IF($J6="NoFcst",0,IF($J6="RemBud",BR6*(1+DC6),IF($J6="Rolling12",($AH6*CD6)*(1+DC6),IF($AA6="PctBud",($AI6*BR6)*(1+DC6),IF($J6="CapBud",MIN(MAX($AU6-SUM($M6:T6),0),BR6)*(1+DC6),IF($J6="Annual",($AO6/$AO$26*U$26)*(1+DC6),IF($J6="Trend",CP6*(1+DC6),($AC6*INDEX(U$22:U$24,(INDEX($G$22:$G$24,MATCH($AA6,$E$22:$E$24,0),1))))*(1+DC6)))))))))</f>
        <v>0</v>
      </c>
      <c r="V6" s="419" cm="1">
        <f t="array" ref="V6">IF(OR(V$21&lt;=$J$20,$A6=""),BG6,IF($J6="NoFcst",0,IF($J6="RemBud",BS6*(1+DD6),IF($J6="Rolling12",($AH6*CE6)*(1+DD6),IF($AA6="PctBud",($AI6*BS6)*(1+DD6),IF($J6="CapBud",MIN(MAX($AU6-SUM($M6:U6),0),BS6)*(1+DD6),IF($J6="Annual",($AO6/$AO$26*V$26)*(1+DD6),IF($J6="Trend",CQ6*(1+DD6),($AC6*INDEX(V$22:V$24,(INDEX($G$22:$G$24,MATCH($AA6,$E$22:$E$24,0),1))))*(1+DD6)))))))))</f>
        <v>0</v>
      </c>
      <c r="W6" s="419" cm="1">
        <f t="array" ref="W6">IF(OR(W$21&lt;=$J$20,$A6=""),BH6,IF($J6="NoFcst",0,IF($J6="RemBud",BT6*(1+DE6),IF($J6="Rolling12",($AH6*CF6)*(1+DE6),IF($AA6="PctBud",($AI6*BT6)*(1+DE6),IF($J6="CapBud",MIN(MAX($AU6-SUM($M6:V6),0),BT6)*(1+DE6),IF($J6="Annual",($AO6/$AO$26*W$26)*(1+DE6),IF($J6="Trend",CR6*(1+DE6),($AC6*INDEX(W$22:W$24,(INDEX($G$22:$G$24,MATCH($AA6,$E$22:$E$24,0),1))))*(1+DE6)))))))))</f>
        <v>0</v>
      </c>
      <c r="X6" s="419" cm="1">
        <f t="array" ref="X6">IF(OR(X$21&lt;=$J$20,$A6=""),BI6,IF($J6="NoFcst",0,IF($J6="RemBud",BU6*(1+DF6),IF($J6="Rolling12",($AH6*CG6)*(1+DF6),IF($AA6="PctBud",($AI6*BU6)*(1+DF6),IF($J6="CapBud",MIN(MAX($AU6-SUM($M6:W6),0),BU6)*(1+DF6),IF($J6="Annual",($AO6/$AO$26*X$26)*(1+DF6),IF($J6="Trend",CS6*(1+DF6),($AC6*INDEX(X$22:X$24,(INDEX($G$22:$G$24,MATCH($AA6,$E$22:$E$24,0),1))))*(1+DF6)))))))))</f>
        <v>0</v>
      </c>
      <c r="Y6" s="3" t="str">
        <f>IF($A6="","",SUM(M6:X6))</f>
        <v/>
      </c>
      <c r="Z6" s="6">
        <f>1</f>
        <v>1</v>
      </c>
      <c r="AA6" s="393">
        <f>IF(LEFT(RIGHT($J6,4),1)&lt;&gt;"_",J6,LEFT($J6,LEN($J6)-4))</f>
        <v>0</v>
      </c>
      <c r="AB6" s="393" t="str">
        <f>IF(LEFT(RIGHT(J6,4),1)&lt;&gt;"_","YTD",RIGHT(J6,3))</f>
        <v>YTD</v>
      </c>
      <c r="AC6" s="374">
        <f ca="1">IF($AB6=$AE$47,$AE6,IF($AB6=$AF$47,$AF6,IF($AB6=$AG$47,$AG6,$AD6)))</f>
        <v>0</v>
      </c>
      <c r="AD6" s="375">
        <f ca="1">IF(INDIRECT("$"&amp;AD$46&amp;"$"&amp;$AK6)=0,0,AO6/INDIRECT("$"&amp;AD$46&amp;"$"&amp;$AK6))</f>
        <v>0</v>
      </c>
      <c r="AE6" s="375">
        <f ca="1">IF(INDIRECT("$"&amp;AE$46&amp;"$"&amp;$AK6)=0,0,AP6/INDIRECT("$"&amp;AE$46&amp;"$"&amp;$AK6))</f>
        <v>0</v>
      </c>
      <c r="AF6" s="375">
        <f ca="1">IF(INDIRECT("$"&amp;AF$46&amp;"$"&amp;$AK6)=0,0,AQ6/INDIRECT("$"&amp;AF$46&amp;"$"&amp;$AK6))</f>
        <v>0</v>
      </c>
      <c r="AG6" s="375">
        <f ca="1">IF(INDIRECT("$"&amp;AG$46&amp;"$"&amp;$AK6)=0,0,AU6/INDIRECT("$"&amp;AG$46&amp;"$"&amp;$AK6))</f>
        <v>0</v>
      </c>
      <c r="AH6" s="61">
        <f>IF(AN6=0,0,AO6/AN6)</f>
        <v>0</v>
      </c>
      <c r="AI6" s="61">
        <f>IF(AV6=0,0,AO6/AV6)</f>
        <v>0</v>
      </c>
      <c r="AJ6" s="61">
        <f>IF(AW6=0,0,AP6/AW6)</f>
        <v>0</v>
      </c>
      <c r="AK6" s="3">
        <f>IF(AM6=0,IF(LEFT(K6,2)="IP",22,IF(LEFT(K6,2)="OP",23,IF(LEFT(K6,2)="Ot",24,25))),AM6)</f>
        <v>25</v>
      </c>
      <c r="AL6" s="61" t="str">
        <f>G6&amp;"_"&amp;H6</f>
        <v>_</v>
      </c>
      <c r="AM6" s="3">
        <f>IF(ISNA(MATCH(AL6,AM$51:AM$60,0)),0,MATCH(AL6,AM$51:AM$60,0)+50)</f>
        <v>0</v>
      </c>
      <c r="AN6" s="364">
        <v>0</v>
      </c>
      <c r="AO6" s="364">
        <v>0</v>
      </c>
      <c r="AP6" s="364">
        <v>0</v>
      </c>
      <c r="AQ6" s="352">
        <f>SUM(AR6:AT6)</f>
        <v>0</v>
      </c>
      <c r="AR6" s="352">
        <v>0</v>
      </c>
      <c r="AS6" s="352">
        <v>0</v>
      </c>
      <c r="AT6" s="352">
        <v>0</v>
      </c>
      <c r="AU6" s="364">
        <v>0</v>
      </c>
      <c r="AV6" s="364">
        <v>0</v>
      </c>
      <c r="AW6" s="364">
        <v>0</v>
      </c>
      <c r="AX6" s="280">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f>AX6</f>
        <v>0</v>
      </c>
      <c r="CI6" s="3" cm="1">
        <f t="array" ref="CI6">IF(OR(CI$21&lt;=$J$20,$A6=""),AY6,TREND(BW6:CH6,BW$26:CH$26,CI$26))</f>
        <v>0</v>
      </c>
      <c r="CJ6" s="3" cm="1">
        <f t="array" ref="CJ6">IF(OR(CJ$21&lt;=$J$20,$A6=""),AZ6,TREND(BX6:CI6,BX$26:CI$26,CJ$26))</f>
        <v>0</v>
      </c>
      <c r="CK6" s="3" cm="1">
        <f t="array" ref="CK6">IF(OR(CK$21&lt;=$J$20,$A6=""),BA6,TREND(BY6:CJ6,BY$26:CJ$26,CK$26))</f>
        <v>0</v>
      </c>
      <c r="CL6" s="3" cm="1">
        <f t="array" ref="CL6">IF(OR(CL$21&lt;=$J$20,$A6=""),BB6,TREND(BZ6:CK6,BZ$26:CK$26,CL$26))</f>
        <v>0</v>
      </c>
      <c r="CM6" s="3" cm="1">
        <f t="array" ref="CM6">IF(OR(CM$21&lt;=$J$20,$A6=""),BC6,TREND(CA6:CL6,CA$26:CL$26,CM$26))</f>
        <v>0</v>
      </c>
      <c r="CN6" s="3" cm="1">
        <f t="array" ref="CN6">IF(OR(CN$21&lt;=$J$20,$A6=""),BD6,TREND(CB6:CM6,CB$26:CM$26,CN$26))</f>
        <v>0</v>
      </c>
      <c r="CO6" s="3" cm="1">
        <f t="array" ref="CO6">IF(OR(CO$21&lt;=$J$20,$A6=""),BE6,TREND(CC6:CN6,CC$26:CN$26,CO$26))</f>
        <v>0</v>
      </c>
      <c r="CP6" s="3" cm="1">
        <f t="array" ref="CP6">IF(OR(CP$21&lt;=$J$20,$A6=""),BF6,TREND(CD6:CO6,CD$26:CO$26,CP$26))</f>
        <v>0</v>
      </c>
      <c r="CQ6" s="3" cm="1">
        <f t="array" ref="CQ6">IF(OR(CQ$21&lt;=$J$20,$A6=""),BG6,TREND(CE6:CP6,CE$26:CP$26,CQ$26))</f>
        <v>0</v>
      </c>
      <c r="CR6" s="3" cm="1">
        <f t="array" ref="CR6">IF(OR(CR$21&lt;=$J$20,$A6=""),BH6,TREND(CF6:CQ6,CF$26:CQ$26,CR$26))</f>
        <v>0</v>
      </c>
      <c r="CS6" s="3" cm="1">
        <f t="array" ref="CS6">IF(OR(CS$21&lt;=$J$20,$A6=""),BI6,TREND(CG6:CR6,CG$26:CR$26,CS$26))</f>
        <v>0</v>
      </c>
      <c r="CT6" s="60" t="str">
        <f>$CU$22&amp;"_"&amp;L6</f>
        <v>0_</v>
      </c>
      <c r="CU6" s="71" t="b" cm="1">
        <f t="array" aca="1" ref="CU6" ca="1">INDIRECT("CYFDRIVER!"&amp;CU$44&amp;$DG6)</f>
        <v>1</v>
      </c>
      <c r="CV6" s="71" t="b" cm="1">
        <f t="array" aca="1" ref="CV6" ca="1">INDIRECT("CYFDRIVER!"&amp;CV$44&amp;$DG6)</f>
        <v>1</v>
      </c>
      <c r="CW6" s="71" t="b" cm="1">
        <f t="array" aca="1" ref="CW6" ca="1">INDIRECT("CYFDRIVER!"&amp;CW$44&amp;$DG6)</f>
        <v>1</v>
      </c>
      <c r="CX6" s="71" t="b" cm="1">
        <f t="array" aca="1" ref="CX6" ca="1">INDIRECT("CYFDRIVER!"&amp;CX$44&amp;$DG6)</f>
        <v>1</v>
      </c>
      <c r="CY6" s="71" t="b" cm="1">
        <f t="array" aca="1" ref="CY6" ca="1">INDIRECT("CYFDRIVER!"&amp;CY$44&amp;$DG6)</f>
        <v>1</v>
      </c>
      <c r="CZ6" s="71" t="b" cm="1">
        <f t="array" aca="1" ref="CZ6" ca="1">INDIRECT("CYFDRIVER!"&amp;CZ$44&amp;$DG6)</f>
        <v>1</v>
      </c>
      <c r="DA6" s="71" t="b" cm="1">
        <f t="array" aca="1" ref="DA6" ca="1">INDIRECT("CYFDRIVER!"&amp;DA$44&amp;$DG6)</f>
        <v>1</v>
      </c>
      <c r="DB6" s="71" t="b" cm="1">
        <f t="array" aca="1" ref="DB6" ca="1">INDIRECT("CYFDRIVER!"&amp;DB$44&amp;$DG6)</f>
        <v>1</v>
      </c>
      <c r="DC6" s="71" t="b" cm="1">
        <f t="array" aca="1" ref="DC6" ca="1">INDIRECT("CYFDRIVER!"&amp;DC$44&amp;$DG6)</f>
        <v>0</v>
      </c>
      <c r="DD6" s="71" t="b" cm="1">
        <f t="array" aca="1" ref="DD6" ca="1">INDIRECT("CYFDRIVER!"&amp;DD$44&amp;$DG6)</f>
        <v>0</v>
      </c>
      <c r="DE6" s="71" t="b" cm="1">
        <f t="array" aca="1" ref="DE6" ca="1">INDIRECT("CYFDRIVER!"&amp;DE$44&amp;$DG6)</f>
        <v>0</v>
      </c>
      <c r="DF6" s="71" t="b" cm="1">
        <f t="array" aca="1" ref="DF6" ca="1">INDIRECT("CYFDRIVER!"&amp;DF$44&amp;$DG6)</f>
        <v>0</v>
      </c>
      <c r="DG6" s="406">
        <f>IF(ISNA(MATCH(CT6,CYFDriver!A:A,0)),4,MATCH(CT6,CYFDriver!A:A,0))</f>
        <v>4</v>
      </c>
    </row>
    <row r="7" spans="1:111" ht="16.8">
      <c r="A7" s="17"/>
      <c r="B7" s="17"/>
      <c r="C7" s="17"/>
      <c r="D7" s="17"/>
      <c r="E7" s="17"/>
      <c r="F7" s="17"/>
      <c r="G7" s="395" t="str">
        <f t="shared" ref="G7:L7" si="6">G5</f>
        <v>Dept.Dept</v>
      </c>
      <c r="H7" s="395" t="str">
        <f t="shared" si="6"/>
        <v>ACCT.Acct</v>
      </c>
      <c r="I7" s="450" t="str">
        <f t="shared" si="6"/>
        <v>Acct.Description</v>
      </c>
      <c r="J7" s="450" t="str">
        <f t="shared" si="6"/>
        <v>Acct.CYFMethod</v>
      </c>
      <c r="K7" s="450" t="str">
        <f t="shared" si="6"/>
        <v>Acct.BudgetType</v>
      </c>
      <c r="L7" s="450" t="str">
        <f t="shared" si="6"/>
        <v>Acct.FSDetail</v>
      </c>
      <c r="M7" s="17"/>
      <c r="N7" s="17"/>
      <c r="O7" s="17"/>
      <c r="P7" s="17"/>
      <c r="Q7" s="17"/>
      <c r="R7" s="17"/>
      <c r="S7" s="17"/>
      <c r="T7" s="17"/>
      <c r="U7" s="17"/>
      <c r="V7" s="17"/>
      <c r="W7" s="17"/>
      <c r="X7" s="17"/>
      <c r="Y7" s="17"/>
      <c r="Z7" s="395"/>
      <c r="AA7" s="395"/>
      <c r="AB7" s="395"/>
      <c r="AC7" s="377"/>
      <c r="AD7" s="377"/>
      <c r="AE7" s="377"/>
      <c r="AF7" s="377"/>
      <c r="AG7" s="377"/>
      <c r="AH7" s="17"/>
      <c r="AI7" s="17"/>
      <c r="AJ7" s="17"/>
      <c r="AK7" s="17"/>
      <c r="AL7" s="17"/>
      <c r="AM7" s="17"/>
      <c r="AN7" s="17" t="str">
        <f>AN5</f>
        <v>ACT2019.YTD</v>
      </c>
      <c r="AO7" s="17" t="str">
        <f>AO5</f>
        <v>ACT2020.YTD</v>
      </c>
      <c r="AP7" s="17" t="str">
        <f>AP5</f>
        <v>ACT2020.P8</v>
      </c>
      <c r="AQ7" s="17"/>
      <c r="AR7" s="17" t="str">
        <f t="shared" ref="AR7:AT7" si="7">AR5</f>
        <v>ACT2020.P8</v>
      </c>
      <c r="AS7" s="17" t="str">
        <f t="shared" si="7"/>
        <v>ACT2020.P7</v>
      </c>
      <c r="AT7" s="17" t="str">
        <f t="shared" si="7"/>
        <v>ACT2020.P6</v>
      </c>
      <c r="AU7" s="17" t="str">
        <f t="shared" ref="AU7:CG7" si="8">AU5</f>
        <v>BUD2020.TOT</v>
      </c>
      <c r="AV7" s="17" t="str">
        <f t="shared" si="8"/>
        <v>BUD2020.YTD</v>
      </c>
      <c r="AW7" s="17" t="str">
        <f t="shared" ref="AW7" si="9">AW5</f>
        <v>BUD2020.P8</v>
      </c>
      <c r="AX7" s="282" t="str">
        <f t="shared" si="8"/>
        <v>ACT2020.P1</v>
      </c>
      <c r="AY7" s="17" t="str">
        <f t="shared" si="8"/>
        <v>ACT2020.P2</v>
      </c>
      <c r="AZ7" s="17" t="str">
        <f t="shared" si="8"/>
        <v>ACT2020.P3</v>
      </c>
      <c r="BA7" s="17" t="str">
        <f t="shared" si="8"/>
        <v>ACT2020.P4</v>
      </c>
      <c r="BB7" s="17" t="str">
        <f t="shared" si="8"/>
        <v>ACT2020.P5</v>
      </c>
      <c r="BC7" s="17" t="str">
        <f t="shared" si="8"/>
        <v>ACT2020.P6</v>
      </c>
      <c r="BD7" s="17" t="str">
        <f t="shared" si="8"/>
        <v>ACT2020.P7</v>
      </c>
      <c r="BE7" s="17" t="str">
        <f t="shared" si="8"/>
        <v>ACT2020.P8</v>
      </c>
      <c r="BF7" s="17" t="str">
        <f t="shared" si="8"/>
        <v>ACT2020.P9</v>
      </c>
      <c r="BG7" s="17" t="str">
        <f t="shared" si="8"/>
        <v>ACT2020.P10</v>
      </c>
      <c r="BH7" s="17" t="str">
        <f t="shared" si="8"/>
        <v>ACT2020.P11</v>
      </c>
      <c r="BI7" s="17" t="str">
        <f t="shared" si="8"/>
        <v>ACT2020.P12</v>
      </c>
      <c r="BJ7" s="17" t="str">
        <f t="shared" si="8"/>
        <v>BUD2020.P1</v>
      </c>
      <c r="BK7" s="17" t="str">
        <f t="shared" si="8"/>
        <v>BUD2020.P2</v>
      </c>
      <c r="BL7" s="17" t="str">
        <f t="shared" si="8"/>
        <v>BUD2020.P3</v>
      </c>
      <c r="BM7" s="17" t="str">
        <f t="shared" si="8"/>
        <v>BUD2020.P4</v>
      </c>
      <c r="BN7" s="17" t="str">
        <f t="shared" si="8"/>
        <v>BUD2020.P5</v>
      </c>
      <c r="BO7" s="17" t="str">
        <f t="shared" si="8"/>
        <v>BUD2020.P6</v>
      </c>
      <c r="BP7" s="17" t="str">
        <f t="shared" si="8"/>
        <v>BUD2020.P7</v>
      </c>
      <c r="BQ7" s="17" t="str">
        <f t="shared" si="8"/>
        <v>BUD2020.P8</v>
      </c>
      <c r="BR7" s="17" t="str">
        <f t="shared" si="8"/>
        <v>BUD2020.P9</v>
      </c>
      <c r="BS7" s="17" t="str">
        <f t="shared" si="8"/>
        <v>BUD2020.P10</v>
      </c>
      <c r="BT7" s="17" t="str">
        <f t="shared" si="8"/>
        <v>BUD2020.P11</v>
      </c>
      <c r="BU7" s="17" t="str">
        <f t="shared" si="8"/>
        <v>BUD2020.P12</v>
      </c>
      <c r="BV7" s="17" t="str">
        <f t="shared" si="8"/>
        <v>ACT2019.P1</v>
      </c>
      <c r="BW7" s="17" t="str">
        <f t="shared" si="8"/>
        <v>ACT2019.P2</v>
      </c>
      <c r="BX7" s="17" t="str">
        <f t="shared" si="8"/>
        <v>ACT2019.P3</v>
      </c>
      <c r="BY7" s="17" t="str">
        <f t="shared" si="8"/>
        <v>ACT2019.P4</v>
      </c>
      <c r="BZ7" s="17" t="str">
        <f t="shared" si="8"/>
        <v>ACT2019.P5</v>
      </c>
      <c r="CA7" s="17" t="str">
        <f t="shared" si="8"/>
        <v>ACT2019.P6</v>
      </c>
      <c r="CB7" s="17" t="str">
        <f t="shared" si="8"/>
        <v>ACT2019.P7</v>
      </c>
      <c r="CC7" s="17" t="str">
        <f t="shared" si="8"/>
        <v>ACT2019.P8</v>
      </c>
      <c r="CD7" s="17" t="str">
        <f t="shared" si="8"/>
        <v>ACT2019.P9</v>
      </c>
      <c r="CE7" s="17" t="str">
        <f t="shared" si="8"/>
        <v>ACT2019.P10</v>
      </c>
      <c r="CF7" s="17" t="str">
        <f t="shared" si="8"/>
        <v>ACT2019.P11</v>
      </c>
      <c r="CG7" s="17" t="str">
        <f t="shared" si="8"/>
        <v>ACT2019.P12</v>
      </c>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row>
    <row r="8" spans="1:111" ht="16.8">
      <c r="C8" s="13"/>
      <c r="D8" s="60" t="s">
        <v>665</v>
      </c>
      <c r="E8" s="5" t="str">
        <f>IF(ROW()&lt;28,"","[Save]")</f>
        <v/>
      </c>
      <c r="F8" s="101"/>
      <c r="G8" s="6"/>
      <c r="H8" s="6"/>
      <c r="I8" s="449"/>
      <c r="J8" s="449"/>
      <c r="K8" s="449"/>
      <c r="L8" s="449"/>
      <c r="M8" s="419">
        <f>AX8</f>
        <v>0</v>
      </c>
      <c r="N8" s="420">
        <f>IF(OR(N$21&lt;=$J$20,$A8=""),AY8,IF($J8="NoFcst",0,IF($AA8="Fixed",$AC8*(1+CV8),IF($J8="RemBud",BK8*(1+CV8),IF($J8="Rolling12",($AH8*BW8)*(1+CV8),IF($J8="PctBud",($AI8*BK8)*(1+CV8),IF($J8="CapBud",MIN(MAX($AU8-SUM($M8:M8),0),BK8)*(1+CV8),IF($AA8="Variable",($AC8*N$25)*(1+CV8),IF($J8="Trend",CI8*(1+CV8),IF($AA8="PctRev",($AC8*N$37)*(1+CV8),($AO8/$AO$26*N$26)*(1+CV8)))))))))))</f>
        <v>0</v>
      </c>
      <c r="O8" s="420">
        <f>IF(OR(O$21&lt;=$J$20,$A8=""),AZ8,IF($J8="NoFcst",0,IF($AA8="Fixed",$AC8*(1+CW8),IF($J8="RemBud",BL8*(1+CW8),IF($J8="Rolling12",($AH8*BX8)*(1+CW8),IF($J8="PctBud",($AI8*BL8)*(1+CW8),IF($J8="CapBud",MIN(MAX($AU8-SUM($M8:N8),0),BL8)*(1+CW8),IF($AA8="Variable",($AC8*O$25)*(1+CW8),IF($J8="Trend",CJ8*(1+CW8),IF($AA8="PctRev",($AC8*O$37)*(1+CW8),($AO8/$AO$26*O$26)*(1+CW8)))))))))))</f>
        <v>0</v>
      </c>
      <c r="P8" s="420">
        <f>IF(OR(P$21&lt;=$J$20,$A8=""),BA8,IF($J8="NoFcst",0,IF($AA8="Fixed",$AC8*(1+CX8),IF($J8="RemBud",BM8*(1+CX8),IF($J8="Rolling12",($AH8*BY8)*(1+CX8),IF($J8="PctBud",($AI8*BM8)*(1+CX8),IF($J8="CapBud",MIN(MAX($AU8-SUM($M8:O8),0),BM8)*(1+CX8),IF($AA8="Variable",($AC8*P$25)*(1+CX8),IF($J8="Trend",CK8*(1+CX8),IF($AA8="PctRev",($AC8*P$37)*(1+CX8),($AO8/$AO$26*P$26)*(1+CX8)))))))))))</f>
        <v>0</v>
      </c>
      <c r="Q8" s="420">
        <f>IF(OR(Q$21&lt;=$J$20,$A8=""),BB8,IF($J8="NoFcst",0,IF($AA8="Fixed",$AC8*(1+CY8),IF($J8="RemBud",BN8*(1+CY8),IF($J8="Rolling12",($AH8*BZ8)*(1+CY8),IF($J8="PctBud",($AI8*BN8)*(1+CY8),IF($J8="CapBud",MIN(MAX($AU8-SUM($M8:P8),0),BN8)*(1+CY8),IF($AA8="Variable",($AC8*Q$25)*(1+CY8),IF($J8="Trend",CL8*(1+CY8),IF($AA8="PctRev",($AC8*Q$37)*(1+CY8),($AO8/$AO$26*Q$26)*(1+CY8)))))))))))</f>
        <v>0</v>
      </c>
      <c r="R8" s="420">
        <f>IF(OR(R$21&lt;=$J$20,$A8=""),BC8,IF($J8="NoFcst",0,IF($AA8="Fixed",$AC8*(1+CZ8),IF($J8="RemBud",BO8*(1+CZ8),IF($J8="Rolling12",($AH8*CA8)*(1+CZ8),IF($J8="PctBud",($AI8*BO8)*(1+CZ8),IF($J8="CapBud",MIN(MAX($AU8-SUM($M8:Q8),0),BO8)*(1+CZ8),IF($AA8="Variable",($AC8*R$25)*(1+CZ8),IF($J8="Trend",CM8*(1+CZ8),IF($AA8="PctRev",($AC8*R$37)*(1+CZ8),($AO8/$AO$26*R$26)*(1+CZ8)))))))))))</f>
        <v>0</v>
      </c>
      <c r="S8" s="420">
        <f>IF(OR(S$21&lt;=$J$20,$A8=""),BD8,IF($J8="NoFcst",0,IF($AA8="Fixed",$AC8*(1+DA8),IF($J8="RemBud",BP8*(1+DA8),IF($J8="Rolling12",($AH8*CB8)*(1+DA8),IF($J8="PctBud",($AI8*BP8)*(1+DA8),IF($J8="CapBud",MIN(MAX($AU8-SUM($M8:R8),0),BP8)*(1+DA8),IF($AA8="Variable",($AC8*S$25)*(1+DA8),IF($J8="Trend",CN8*(1+DA8),IF($AA8="PctRev",($AC8*S$37)*(1+DA8),($AO8/$AO$26*S$26)*(1+DA8)))))))))))</f>
        <v>0</v>
      </c>
      <c r="T8" s="420">
        <f>IF(OR(T$21&lt;=$J$20,$A8=""),BE8,IF($J8="NoFcst",0,IF($AA8="Fixed",$AC8*(1+DB8),IF($J8="RemBud",BQ8*(1+DB8),IF($J8="Rolling12",($AH8*CC8)*(1+DB8),IF($J8="PctBud",($AI8*BQ8)*(1+DB8),IF($J8="CapBud",MIN(MAX($AU8-SUM($M8:S8),0),BQ8)*(1+DB8),IF($AA8="Variable",($AC8*T$25)*(1+DB8),IF($J8="Trend",CO8*(1+DB8),IF($AA8="PctRev",($AC8*T$37)*(1+DB8),($AO8/$AO$26*T$26)*(1+DB8)))))))))))</f>
        <v>0</v>
      </c>
      <c r="U8" s="420">
        <f>IF(OR(U$21&lt;=$J$20,$A8=""),BF8,IF($J8="NoFcst",0,IF($AA8="Fixed",$AC8*(1+DC8),IF($J8="RemBud",BR8*(1+DC8),IF($J8="Rolling12",($AH8*CD8)*(1+DC8),IF($J8="PctBud",($AI8*BR8)*(1+DC8),IF($J8="CapBud",MIN(MAX($AU8-SUM($M8:T8),0),BR8)*(1+DC8),IF($AA8="Variable",($AC8*U$25)*(1+DC8),IF($J8="Trend",CP8*(1+DC8),IF($AA8="PctRev",($AC8*U$37)*(1+DC8),($AO8/$AO$26*U$26)*(1+DC8)))))))))))</f>
        <v>0</v>
      </c>
      <c r="V8" s="420">
        <f>IF(OR(V$21&lt;=$J$20,$A8=""),BG8,IF($J8="NoFcst",0,IF($AA8="Fixed",$AC8*(1+DD8),IF($J8="RemBud",BS8*(1+DD8),IF($J8="Rolling12",($AH8*CE8)*(1+DD8),IF($J8="PctBud",($AI8*BS8)*(1+DD8),IF($J8="CapBud",MIN(MAX($AU8-SUM($M8:U8),0),BS8)*(1+DD8),IF($AA8="Variable",($AC8*V$25)*(1+DD8),IF($J8="Trend",CQ8*(1+DD8),IF($AA8="PctRev",($AC8*V$37)*(1+DD8),($AO8/$AO$26*V$26)*(1+DD8)))))))))))</f>
        <v>0</v>
      </c>
      <c r="W8" s="420">
        <f>IF(OR(W$21&lt;=$J$20,$A8=""),BH8,IF($J8="NoFcst",0,IF($AA8="Fixed",$AC8*(1+DE8),IF($J8="RemBud",BT8*(1+DE8),IF($J8="Rolling12",($AH8*CF8)*(1+DE8),IF($J8="PctBud",($AI8*BT8)*(1+DE8),IF($J8="CapBud",MIN(MAX($AU8-SUM($M8:V8),0),BT8)*(1+DE8),IF($AA8="Variable",($AC8*W$25)*(1+DE8),IF($J8="Trend",CR8*(1+DE8),IF($AA8="PctRev",($AC8*W$37)*(1+DE8),($AO8/$AO$26*W$26)*(1+DE8)))))))))))</f>
        <v>0</v>
      </c>
      <c r="X8" s="420">
        <f>IF(OR(X$21&lt;=$J$20,$A8=""),BI8,IF($J8="NoFcst",0,IF($AA8="Fixed",$AC8*(1+DF8),IF($J8="RemBud",BU8*(1+DF8),IF($J8="Rolling12",($AH8*CG8)*(1+DF8),IF($J8="PctBud",($AI8*BU8)*(1+DF8),IF($J8="CapBud",MIN(MAX($AU8-SUM($M8:W8),0),BU8)*(1+DF8),IF($AA8="Variable",($AC8*X$25)*(1+DF8),IF($J8="Trend",CS8*(1+DF8),IF($AA8="PctRev",($AC8*X$37)*(1+DF8),($AO8/$AO$26*X$26)*(1+DF8)))))))))))</f>
        <v>0</v>
      </c>
      <c r="Y8" s="3" t="str">
        <f>IF($A8="","",SUM(M8:X8))</f>
        <v/>
      </c>
      <c r="Z8" s="6">
        <f>1</f>
        <v>1</v>
      </c>
      <c r="AA8" s="393">
        <f>IF(LEFT(RIGHT($J8,4),1)&lt;&gt;"_",J8,LEFT($J8,LEN($J8)-4))</f>
        <v>0</v>
      </c>
      <c r="AB8" s="393" t="str">
        <f>IF(LEFT(RIGHT(J8,4),1)&lt;&gt;"_","YTD",RIGHT(J8,3))</f>
        <v>YTD</v>
      </c>
      <c r="AC8" s="374" t="str">
        <f>IF($AB8=$AE$47,$AE8,IF($AB8=$AF$47,$AF8,IF($AB8=$AG$47,$AG8,$AD8)))</f>
        <v/>
      </c>
      <c r="AD8" s="375" t="str">
        <f>IF($A8="","",IF($AA8="Fixed",AO8/$J$20,IF($AA8="Variable",IF(AO$25=0,0,AO8/AO$25),IF(AO$37=0,0,AO8/AO$37))))</f>
        <v/>
      </c>
      <c r="AE8" s="375" t="str">
        <f>IF($A8="","",IF($AA8="Fixed",AP8,IF($AA8="Variable",IF(AP$25=0,0,AP8/AP$25),IF(AP$37=0,0,AP8/AP$37))))</f>
        <v/>
      </c>
      <c r="AF8" s="375" t="str">
        <f>IF($A8="","",IF($AA8="Fixed",AQ8/3,IF($AA8="Variable",IF(AQ$25=0,0,AQ8/AQ$25),IF(AQ$37=0,0,AQ8/AQ$37))))</f>
        <v/>
      </c>
      <c r="AG8" s="375" t="str">
        <f>IF($A8="","",IF($AA8="Fixed",AU8/12,IF($AA8="Variable",IF(AU$25=0,0,AU8/AU$25),IF(AU$37=0,0,AU8/AU$37))))</f>
        <v/>
      </c>
      <c r="AH8" s="61" t="str">
        <f>IF($A8="","",IF(AN8=0,0,AO8/AN8))</f>
        <v/>
      </c>
      <c r="AI8" s="61" t="str">
        <f>IF($A8="","",IF(AV8=0,0,AO8/AV8))</f>
        <v/>
      </c>
      <c r="AJ8" s="61" t="str">
        <f>IF($A8="","",IF(AW8=0,0,AP8/AW8))</f>
        <v/>
      </c>
      <c r="AK8" s="61"/>
      <c r="AL8" s="61"/>
      <c r="AM8" s="61"/>
      <c r="AN8" s="364">
        <v>0</v>
      </c>
      <c r="AO8" s="364">
        <v>0</v>
      </c>
      <c r="AP8" s="364">
        <v>0</v>
      </c>
      <c r="AQ8" s="352">
        <f>SUM(AR8:AT8)</f>
        <v>0</v>
      </c>
      <c r="AR8" s="352">
        <v>0</v>
      </c>
      <c r="AS8" s="352">
        <v>0</v>
      </c>
      <c r="AT8" s="352">
        <v>0</v>
      </c>
      <c r="AU8" s="364">
        <v>0</v>
      </c>
      <c r="AV8" s="364">
        <v>0</v>
      </c>
      <c r="AW8" s="364">
        <v>0</v>
      </c>
      <c r="AX8" s="280">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f>AX8</f>
        <v>0</v>
      </c>
      <c r="CI8" s="3" cm="1">
        <f t="array" ref="CI8">IF(OR(CI$21&lt;=$J$20,$A8=""),AY8,TREND(BW8:CH8,BW$26:CH$26,CI$26))</f>
        <v>0</v>
      </c>
      <c r="CJ8" s="3" cm="1">
        <f t="array" ref="CJ8">IF(OR(CJ$21&lt;=$J$20,$A8=""),AZ8,TREND(BX8:CI8,BX$26:CI$26,CJ$26))</f>
        <v>0</v>
      </c>
      <c r="CK8" s="3" cm="1">
        <f t="array" ref="CK8">IF(OR(CK$21&lt;=$J$20,$A8=""),BA8,TREND(BY8:CJ8,BY$26:CJ$26,CK$26))</f>
        <v>0</v>
      </c>
      <c r="CL8" s="3" cm="1">
        <f t="array" ref="CL8">IF(OR(CL$21&lt;=$J$20,$A8=""),BB8,TREND(BZ8:CK8,BZ$26:CK$26,CL$26))</f>
        <v>0</v>
      </c>
      <c r="CM8" s="3" cm="1">
        <f t="array" ref="CM8">IF(OR(CM$21&lt;=$J$20,$A8=""),BC8,TREND(CA8:CL8,CA$26:CL$26,CM$26))</f>
        <v>0</v>
      </c>
      <c r="CN8" s="3" cm="1">
        <f t="array" ref="CN8">IF(OR(CN$21&lt;=$J$20,$A8=""),BD8,TREND(CB8:CM8,CB$26:CM$26,CN$26))</f>
        <v>0</v>
      </c>
      <c r="CO8" s="3" cm="1">
        <f t="array" ref="CO8">IF(OR(CO$21&lt;=$J$20,$A8=""),BE8,TREND(CC8:CN8,CC$26:CN$26,CO$26))</f>
        <v>0</v>
      </c>
      <c r="CP8" s="3" cm="1">
        <f t="array" ref="CP8">IF(OR(CP$21&lt;=$J$20,$A8=""),BF8,TREND(CD8:CO8,CD$26:CO$26,CP$26))</f>
        <v>0</v>
      </c>
      <c r="CQ8" s="3" cm="1">
        <f t="array" ref="CQ8">IF(OR(CQ$21&lt;=$J$20,$A8=""),BG8,TREND(CE8:CP8,CE$26:CP$26,CQ$26))</f>
        <v>0</v>
      </c>
      <c r="CR8" s="3" cm="1">
        <f t="array" ref="CR8">IF(OR(CR$21&lt;=$J$20,$A8=""),BH8,TREND(CF8:CQ8,CF$26:CQ$26,CR$26))</f>
        <v>0</v>
      </c>
      <c r="CS8" s="3" cm="1">
        <f t="array" ref="CS8">IF(OR(CS$21&lt;=$J$20,$A8=""),BI8,TREND(CG8:CR8,CG$26:CR$26,CS$26))</f>
        <v>0</v>
      </c>
      <c r="CT8" s="60" t="str">
        <f>$CU$22&amp;"_"&amp;L8</f>
        <v>0_</v>
      </c>
      <c r="CU8" s="71" t="b" cm="1">
        <f t="array" aca="1" ref="CU8" ca="1">INDIRECT("CYFDRIVER!"&amp;CU$44&amp;$DG8)</f>
        <v>1</v>
      </c>
      <c r="CV8" s="71" t="b" cm="1">
        <f t="array" aca="1" ref="CV8" ca="1">INDIRECT("CYFDRIVER!"&amp;CV$44&amp;$DG8)</f>
        <v>1</v>
      </c>
      <c r="CW8" s="71" t="b" cm="1">
        <f t="array" aca="1" ref="CW8" ca="1">INDIRECT("CYFDRIVER!"&amp;CW$44&amp;$DG8)</f>
        <v>1</v>
      </c>
      <c r="CX8" s="71" t="b" cm="1">
        <f t="array" aca="1" ref="CX8" ca="1">INDIRECT("CYFDRIVER!"&amp;CX$44&amp;$DG8)</f>
        <v>1</v>
      </c>
      <c r="CY8" s="71" t="b" cm="1">
        <f t="array" aca="1" ref="CY8" ca="1">INDIRECT("CYFDRIVER!"&amp;CY$44&amp;$DG8)</f>
        <v>1</v>
      </c>
      <c r="CZ8" s="71" t="b" cm="1">
        <f t="array" aca="1" ref="CZ8" ca="1">INDIRECT("CYFDRIVER!"&amp;CZ$44&amp;$DG8)</f>
        <v>1</v>
      </c>
      <c r="DA8" s="71" t="b" cm="1">
        <f t="array" aca="1" ref="DA8" ca="1">INDIRECT("CYFDRIVER!"&amp;DA$44&amp;$DG8)</f>
        <v>1</v>
      </c>
      <c r="DB8" s="71" t="b" cm="1">
        <f t="array" aca="1" ref="DB8" ca="1">INDIRECT("CYFDRIVER!"&amp;DB$44&amp;$DG8)</f>
        <v>1</v>
      </c>
      <c r="DC8" s="71" t="b" cm="1">
        <f t="array" aca="1" ref="DC8" ca="1">INDIRECT("CYFDRIVER!"&amp;DC$44&amp;$DG8)</f>
        <v>0</v>
      </c>
      <c r="DD8" s="71" t="b" cm="1">
        <f t="array" aca="1" ref="DD8" ca="1">INDIRECT("CYFDRIVER!"&amp;DD$44&amp;$DG8)</f>
        <v>0</v>
      </c>
      <c r="DE8" s="71" t="b" cm="1">
        <f t="array" aca="1" ref="DE8" ca="1">INDIRECT("CYFDRIVER!"&amp;DE$44&amp;$DG8)</f>
        <v>0</v>
      </c>
      <c r="DF8" s="71" t="b" cm="1">
        <f t="array" aca="1" ref="DF8" ca="1">INDIRECT("CYFDRIVER!"&amp;DF$44&amp;$DG8)</f>
        <v>0</v>
      </c>
      <c r="DG8" s="406">
        <f>IF(ISNA(MATCH(CT8,CYFDriver!A:A,0)),4,MATCH(CT8,CYFDriver!A:A,0))</f>
        <v>4</v>
      </c>
    </row>
    <row r="9" spans="1:111" ht="16.8">
      <c r="A9" s="20"/>
      <c r="B9" s="20"/>
      <c r="C9" s="20"/>
      <c r="D9" s="20"/>
      <c r="E9" s="20"/>
      <c r="F9" s="20"/>
      <c r="G9" s="396" t="str">
        <f t="shared" ref="G9:L9" si="10">G7</f>
        <v>Dept.Dept</v>
      </c>
      <c r="H9" s="396" t="str">
        <f t="shared" si="10"/>
        <v>ACCT.Acct</v>
      </c>
      <c r="I9" s="451" t="str">
        <f t="shared" si="10"/>
        <v>Acct.Description</v>
      </c>
      <c r="J9" s="451" t="str">
        <f t="shared" si="10"/>
        <v>Acct.CYFMethod</v>
      </c>
      <c r="K9" s="451" t="str">
        <f t="shared" si="10"/>
        <v>Acct.BudgetType</v>
      </c>
      <c r="L9" s="451" t="str">
        <f t="shared" si="10"/>
        <v>Acct.FSDetail</v>
      </c>
      <c r="M9" s="20"/>
      <c r="N9" s="20"/>
      <c r="O9" s="20"/>
      <c r="P9" s="20"/>
      <c r="Q9" s="20"/>
      <c r="R9" s="20"/>
      <c r="S9" s="20"/>
      <c r="T9" s="20"/>
      <c r="U9" s="20"/>
      <c r="V9" s="20"/>
      <c r="W9" s="20"/>
      <c r="X9" s="20"/>
      <c r="Y9" s="20"/>
      <c r="Z9" s="396"/>
      <c r="AA9" s="396"/>
      <c r="AB9" s="396"/>
      <c r="AC9" s="378"/>
      <c r="AD9" s="378"/>
      <c r="AE9" s="378"/>
      <c r="AF9" s="378"/>
      <c r="AG9" s="378"/>
      <c r="AH9" s="20"/>
      <c r="AI9" s="20"/>
      <c r="AJ9" s="20"/>
      <c r="AK9" s="20"/>
      <c r="AL9" s="20"/>
      <c r="AM9" s="20"/>
      <c r="AN9" s="20" t="str">
        <f>AN7</f>
        <v>ACT2019.YTD</v>
      </c>
      <c r="AO9" s="20" t="str">
        <f>AO7</f>
        <v>ACT2020.YTD</v>
      </c>
      <c r="AP9" s="20" t="str">
        <f>AP7</f>
        <v>ACT2020.P8</v>
      </c>
      <c r="AQ9" s="20"/>
      <c r="AR9" s="20" t="str">
        <f t="shared" ref="AR9:AT9" si="11">AR7</f>
        <v>ACT2020.P8</v>
      </c>
      <c r="AS9" s="20" t="str">
        <f t="shared" si="11"/>
        <v>ACT2020.P7</v>
      </c>
      <c r="AT9" s="20" t="str">
        <f t="shared" si="11"/>
        <v>ACT2020.P6</v>
      </c>
      <c r="AU9" s="20" t="str">
        <f t="shared" ref="AU9:CG9" si="12">AU7</f>
        <v>BUD2020.TOT</v>
      </c>
      <c r="AV9" s="20" t="str">
        <f t="shared" si="12"/>
        <v>BUD2020.YTD</v>
      </c>
      <c r="AW9" s="20" t="str">
        <f t="shared" ref="AW9" si="13">AW7</f>
        <v>BUD2020.P8</v>
      </c>
      <c r="AX9" s="283" t="str">
        <f t="shared" si="12"/>
        <v>ACT2020.P1</v>
      </c>
      <c r="AY9" s="20" t="str">
        <f t="shared" si="12"/>
        <v>ACT2020.P2</v>
      </c>
      <c r="AZ9" s="20" t="str">
        <f t="shared" si="12"/>
        <v>ACT2020.P3</v>
      </c>
      <c r="BA9" s="20" t="str">
        <f t="shared" si="12"/>
        <v>ACT2020.P4</v>
      </c>
      <c r="BB9" s="20" t="str">
        <f t="shared" si="12"/>
        <v>ACT2020.P5</v>
      </c>
      <c r="BC9" s="20" t="str">
        <f t="shared" si="12"/>
        <v>ACT2020.P6</v>
      </c>
      <c r="BD9" s="20" t="str">
        <f t="shared" si="12"/>
        <v>ACT2020.P7</v>
      </c>
      <c r="BE9" s="20" t="str">
        <f t="shared" si="12"/>
        <v>ACT2020.P8</v>
      </c>
      <c r="BF9" s="20" t="str">
        <f t="shared" si="12"/>
        <v>ACT2020.P9</v>
      </c>
      <c r="BG9" s="20" t="str">
        <f t="shared" si="12"/>
        <v>ACT2020.P10</v>
      </c>
      <c r="BH9" s="20" t="str">
        <f t="shared" si="12"/>
        <v>ACT2020.P11</v>
      </c>
      <c r="BI9" s="20" t="str">
        <f t="shared" si="12"/>
        <v>ACT2020.P12</v>
      </c>
      <c r="BJ9" s="20" t="str">
        <f t="shared" si="12"/>
        <v>BUD2020.P1</v>
      </c>
      <c r="BK9" s="20" t="str">
        <f t="shared" si="12"/>
        <v>BUD2020.P2</v>
      </c>
      <c r="BL9" s="20" t="str">
        <f t="shared" si="12"/>
        <v>BUD2020.P3</v>
      </c>
      <c r="BM9" s="20" t="str">
        <f t="shared" si="12"/>
        <v>BUD2020.P4</v>
      </c>
      <c r="BN9" s="20" t="str">
        <f t="shared" si="12"/>
        <v>BUD2020.P5</v>
      </c>
      <c r="BO9" s="20" t="str">
        <f t="shared" si="12"/>
        <v>BUD2020.P6</v>
      </c>
      <c r="BP9" s="20" t="str">
        <f t="shared" si="12"/>
        <v>BUD2020.P7</v>
      </c>
      <c r="BQ9" s="20" t="str">
        <f t="shared" si="12"/>
        <v>BUD2020.P8</v>
      </c>
      <c r="BR9" s="20" t="str">
        <f t="shared" si="12"/>
        <v>BUD2020.P9</v>
      </c>
      <c r="BS9" s="20" t="str">
        <f t="shared" si="12"/>
        <v>BUD2020.P10</v>
      </c>
      <c r="BT9" s="20" t="str">
        <f t="shared" si="12"/>
        <v>BUD2020.P11</v>
      </c>
      <c r="BU9" s="20" t="str">
        <f t="shared" si="12"/>
        <v>BUD2020.P12</v>
      </c>
      <c r="BV9" s="20" t="str">
        <f t="shared" si="12"/>
        <v>ACT2019.P1</v>
      </c>
      <c r="BW9" s="20" t="str">
        <f t="shared" si="12"/>
        <v>ACT2019.P2</v>
      </c>
      <c r="BX9" s="20" t="str">
        <f t="shared" si="12"/>
        <v>ACT2019.P3</v>
      </c>
      <c r="BY9" s="20" t="str">
        <f t="shared" si="12"/>
        <v>ACT2019.P4</v>
      </c>
      <c r="BZ9" s="20" t="str">
        <f t="shared" si="12"/>
        <v>ACT2019.P5</v>
      </c>
      <c r="CA9" s="20" t="str">
        <f t="shared" si="12"/>
        <v>ACT2019.P6</v>
      </c>
      <c r="CB9" s="20" t="str">
        <f t="shared" si="12"/>
        <v>ACT2019.P7</v>
      </c>
      <c r="CC9" s="20" t="str">
        <f t="shared" si="12"/>
        <v>ACT2019.P8</v>
      </c>
      <c r="CD9" s="20" t="str">
        <f t="shared" si="12"/>
        <v>ACT2019.P9</v>
      </c>
      <c r="CE9" s="20" t="str">
        <f t="shared" si="12"/>
        <v>ACT2019.P10</v>
      </c>
      <c r="CF9" s="20" t="str">
        <f t="shared" si="12"/>
        <v>ACT2019.P11</v>
      </c>
      <c r="CG9" s="20" t="str">
        <f t="shared" si="12"/>
        <v>ACT2019.P12</v>
      </c>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row>
    <row r="10" spans="1:111" ht="16.8">
      <c r="C10" s="13"/>
      <c r="D10" s="60" t="s">
        <v>664</v>
      </c>
      <c r="E10" s="5" t="str">
        <f>IF(ROW()&lt;28,"","[Save]")</f>
        <v/>
      </c>
      <c r="F10" s="101"/>
      <c r="G10" s="6"/>
      <c r="H10" s="6"/>
      <c r="I10" s="449"/>
      <c r="J10" s="449"/>
      <c r="K10" s="449"/>
      <c r="L10" s="449"/>
      <c r="M10" s="419">
        <f>AX10</f>
        <v>0</v>
      </c>
      <c r="N10" s="419" cm="1">
        <f t="array" aca="1" ref="N10" ca="1">IF(OR(N$21&lt;=$J$20,$A10=""),AY10,IF($J10="NoFcst",0,IF($AA10="Fixed",$AC10*(1+CV10),IF($J10="RemBud",BK10*(1+CV10),IF($J10="Rolling12",($AH10*BW10)*(1+CV10),IF($AA10="PctBud",($AI10*BK10)*(1+CV10),IF($J10="CapBud",(MIN(MAX($AU10-SUM($M10:M10),0),BK10))*(1+CV10),IF($AA10="Variable",($AC10*N$25)*(1+CV10),IF($J10="Trend",CI10*(1+CV10),IF($AA10="Labor",IF(OR(CV$21&lt;=$J$20,$A10=""),AY10,$AC10*INDIRECT(N$29&amp;$AK10))*(1+CV10),($AO10/$AO$26*N$26)*(1+CV10)))))))))))</f>
        <v>0</v>
      </c>
      <c r="O10" s="419" cm="1">
        <f t="array" aca="1" ref="O10" ca="1">IF(OR(O$21&lt;=$J$20,$A10=""),AZ10,IF($J10="NoFcst",0,IF($AA10="Fixed",$AC10*(1+CW10),IF($J10="RemBud",BL10*(1+CW10),IF($J10="Rolling12",($AH10*BX10)*(1+CW10),IF($AA10="PctBud",($AI10*BL10)*(1+CW10),IF($J10="CapBud",(MIN(MAX($AU10-SUM($M10:N10),0),BL10))*(1+CW10),IF($AA10="Variable",($AC10*O$25)*(1+CW10),IF($J10="Trend",CJ10*(1+CW10),IF($AA10="Labor",IF(OR(CW$21&lt;=$J$20,$A10=""),AZ10,$AC10*INDIRECT(O$29&amp;$AK10))*(1+CW10),($AO10/$AO$26*O$26)*(1+CW10)))))))))))</f>
        <v>0</v>
      </c>
      <c r="P10" s="419" cm="1">
        <f t="array" aca="1" ref="P10" ca="1">IF(OR(P$21&lt;=$J$20,$A10=""),BA10,IF($J10="NoFcst",0,IF($AA10="Fixed",$AC10*(1+CX10),IF($J10="RemBud",BM10*(1+CX10),IF($J10="Rolling12",($AH10*BY10)*(1+CX10),IF($AA10="PctBud",($AI10*BM10)*(1+CX10),IF($J10="CapBud",(MIN(MAX($AU10-SUM($M10:O10),0),BM10))*(1+CX10),IF($AA10="Variable",($AC10*P$25)*(1+CX10),IF($J10="Trend",CK10*(1+CX10),IF($AA10="Labor",IF(OR(CX$21&lt;=$J$20,$A10=""),BA10,$AC10*INDIRECT(P$29&amp;$AK10))*(1+CX10),($AO10/$AO$26*P$26)*(1+CX10)))))))))))</f>
        <v>0</v>
      </c>
      <c r="Q10" s="419" cm="1">
        <f t="array" aca="1" ref="Q10" ca="1">IF(OR(Q$21&lt;=$J$20,$A10=""),BB10,IF($J10="NoFcst",0,IF($AA10="Fixed",$AC10*(1+CY10),IF($J10="RemBud",BN10*(1+CY10),IF($J10="Rolling12",($AH10*BZ10)*(1+CY10),IF($AA10="PctBud",($AI10*BN10)*(1+CY10),IF($J10="CapBud",(MIN(MAX($AU10-SUM($M10:P10),0),BN10))*(1+CY10),IF($AA10="Variable",($AC10*Q$25)*(1+CY10),IF($J10="Trend",CL10*(1+CY10),IF($AA10="Labor",IF(OR(CY$21&lt;=$J$20,$A10=""),BB10,$AC10*INDIRECT(Q$29&amp;$AK10))*(1+CY10),($AO10/$AO$26*Q$26)*(1+CY10)))))))))))</f>
        <v>0</v>
      </c>
      <c r="R10" s="419" cm="1">
        <f t="array" aca="1" ref="R10" ca="1">IF(OR(R$21&lt;=$J$20,$A10=""),BC10,IF($J10="NoFcst",0,IF($AA10="Fixed",$AC10*(1+CZ10),IF($J10="RemBud",BO10*(1+CZ10),IF($J10="Rolling12",($AH10*CA10)*(1+CZ10),IF($AA10="PctBud",($AI10*BO10)*(1+CZ10),IF($J10="CapBud",(MIN(MAX($AU10-SUM($M10:Q10),0),BO10))*(1+CZ10),IF($AA10="Variable",($AC10*R$25)*(1+CZ10),IF($J10="Trend",CM10*(1+CZ10),IF($AA10="Labor",IF(OR(CZ$21&lt;=$J$20,$A10=""),BC10,$AC10*INDIRECT(R$29&amp;$AK10))*(1+CZ10),($AO10/$AO$26*R$26)*(1+CZ10)))))))))))</f>
        <v>0</v>
      </c>
      <c r="S10" s="419" cm="1">
        <f t="array" aca="1" ref="S10" ca="1">IF(OR(S$21&lt;=$J$20,$A10=""),BD10,IF($J10="NoFcst",0,IF($AA10="Fixed",$AC10*(1+DA10),IF($J10="RemBud",BP10*(1+DA10),IF($J10="Rolling12",($AH10*CB10)*(1+DA10),IF($AA10="PctBud",($AI10*BP10)*(1+DA10),IF($J10="CapBud",(MIN(MAX($AU10-SUM($M10:R10),0),BP10))*(1+DA10),IF($AA10="Variable",($AC10*S$25)*(1+DA10),IF($J10="Trend",CN10*(1+DA10),IF($AA10="Labor",IF(OR(DA$21&lt;=$J$20,$A10=""),BD10,$AC10*INDIRECT(S$29&amp;$AK10))*(1+DA10),($AO10/$AO$26*S$26)*(1+DA10)))))))))))</f>
        <v>0</v>
      </c>
      <c r="T10" s="419" cm="1">
        <f t="array" aca="1" ref="T10" ca="1">IF(OR(T$21&lt;=$J$20,$A10=""),BE10,IF($J10="NoFcst",0,IF($AA10="Fixed",$AC10*(1+DB10),IF($J10="RemBud",BQ10*(1+DB10),IF($J10="Rolling12",($AH10*CC10)*(1+DB10),IF($AA10="PctBud",($AI10*BQ10)*(1+DB10),IF($J10="CapBud",(MIN(MAX($AU10-SUM($M10:S10),0),BQ10))*(1+DB10),IF($AA10="Variable",($AC10*T$25)*(1+DB10),IF($J10="Trend",CO10*(1+DB10),IF($AA10="Labor",IF(OR(DB$21&lt;=$J$20,$A10=""),BE10,$AC10*INDIRECT(T$29&amp;$AK10))*(1+DB10),($AO10/$AO$26*T$26)*(1+DB10)))))))))))</f>
        <v>0</v>
      </c>
      <c r="U10" s="419" cm="1">
        <f t="array" aca="1" ref="U10" ca="1">IF(OR(U$21&lt;=$J$20,$A10=""),BF10,IF($J10="NoFcst",0,IF($AA10="Fixed",$AC10*(1+DC10),IF($J10="RemBud",BR10*(1+DC10),IF($J10="Rolling12",($AH10*CD10)*(1+DC10),IF($AA10="PctBud",($AI10*BR10)*(1+DC10),IF($J10="CapBud",(MIN(MAX($AU10-SUM($M10:T10),0),BR10))*(1+DC10),IF($AA10="Variable",($AC10*U$25)*(1+DC10),IF($J10="Trend",CP10*(1+DC10),IF($AA10="Labor",IF(OR(DC$21&lt;=$J$20,$A10=""),BF10,$AC10*INDIRECT(U$29&amp;$AK10))*(1+DC10),($AO10/$AO$26*U$26)*(1+DC10)))))))))))</f>
        <v>0</v>
      </c>
      <c r="V10" s="419" cm="1">
        <f t="array" aca="1" ref="V10" ca="1">IF(OR(V$21&lt;=$J$20,$A10=""),BG10,IF($J10="NoFcst",0,IF($AA10="Fixed",$AC10*(1+DD10),IF($J10="RemBud",BS10*(1+DD10),IF($J10="Rolling12",($AH10*CE10)*(1+DD10),IF($AA10="PctBud",($AI10*BS10)*(1+DD10),IF($J10="CapBud",(MIN(MAX($AU10-SUM($M10:U10),0),BS10))*(1+DD10),IF($AA10="Variable",($AC10*V$25)*(1+DD10),IF($J10="Trend",CQ10*(1+DD10),IF($AA10="Labor",IF(OR(DD$21&lt;=$J$20,$A10=""),BG10,$AC10*INDIRECT(V$29&amp;$AK10))*(1+DD10),($AO10/$AO$26*V$26)*(1+DD10)))))))))))</f>
        <v>0</v>
      </c>
      <c r="W10" s="419" cm="1">
        <f t="array" aca="1" ref="W10" ca="1">IF(OR(W$21&lt;=$J$20,$A10=""),BH10,IF($J10="NoFcst",0,IF($AA10="Fixed",$AC10*(1+DE10),IF($J10="RemBud",BT10*(1+DE10),IF($J10="Rolling12",($AH10*CF10)*(1+DE10),IF($AA10="PctBud",($AI10*BT10)*(1+DE10),IF($J10="CapBud",(MIN(MAX($AU10-SUM($M10:V10),0),BT10))*(1+DE10),IF($AA10="Variable",($AC10*W$25)*(1+DE10),IF($J10="Trend",CR10*(1+DE10),IF($AA10="Labor",IF(OR(DE$21&lt;=$J$20,$A10=""),BH10,$AC10*INDIRECT(W$29&amp;$AK10))*(1+DE10),($AO10/$AO$26*W$26)*(1+DE10)))))))))))</f>
        <v>0</v>
      </c>
      <c r="X10" s="419" cm="1">
        <f t="array" aca="1" ref="X10" ca="1">IF(OR(X$21&lt;=$J$20,$A10=""),BI10,IF($J10="NoFcst",0,IF($AA10="Fixed",$AC10*(1+DF10),IF($J10="RemBud",BU10*(1+DF10),IF($J10="Rolling12",($AH10*CG10)*(1+DF10),IF($AA10="PctBud",($AI10*BU10)*(1+DF10),IF($J10="CapBud",(MIN(MAX($AU10-SUM($M10:W10),0),BU10))*(1+DF10),IF($AA10="Variable",($AC10*X$25)*(1+DF10),IF($J10="Trend",CS10*(1+DF10),IF($AA10="Labor",IF(OR(DF$21&lt;=$J$20,$A10=""),BI10,$AC10*INDIRECT(X$29&amp;$AK10))*(1+DF10),($AO10/$AO$26*X$26)*(1+DF10)))))))))))</f>
        <v>0</v>
      </c>
      <c r="Y10" s="3" t="str">
        <f>IF($A10="","",SUM(M10:X10))</f>
        <v/>
      </c>
      <c r="Z10" s="6">
        <f>1</f>
        <v>1</v>
      </c>
      <c r="AA10" s="393">
        <f>IF(LEFT(RIGHT($J10,4),1)&lt;&gt;"_",J10,LEFT($J10,LEN($J10)-4))</f>
        <v>0</v>
      </c>
      <c r="AB10" s="393" t="str">
        <f>IF(LEFT(RIGHT(J10,4),1)&lt;&gt;"_","YTD",RIGHT(J10,3))</f>
        <v>YTD</v>
      </c>
      <c r="AC10" s="374" t="str">
        <f ca="1">IF($AB10=$AE$47,$AE10,IF($AB10=$AF$47,$AF10,IF($AB10=$AG$47,$AG10,$AD10)))</f>
        <v/>
      </c>
      <c r="AD10" s="375" t="str" cm="1">
        <f t="array" aca="1" ref="AD10" ca="1">IF($A10="","",IF($AA10="Fixed",AO10/$J$20,IF($AA10="Labor",IF(INDIRECT(AD$46&amp;$AK10)=0,0,AO10/INDIRECT(AD$46&amp;$AK10)),IF(AO$25=0,0,AO10/AO$25))))</f>
        <v/>
      </c>
      <c r="AE10" s="375" t="str" cm="1">
        <f t="array" aca="1" ref="AE10" ca="1">IF($A10="","",IF($AA10="Fixed",AP10,IF($AA10="Labor",IF(INDIRECT(AE$46&amp;$AK10)=0,0,AP10/INDIRECT(AE$46&amp;$AK10)),IF(AP$25=0,0,AP10/AP$25))))</f>
        <v/>
      </c>
      <c r="AF10" s="375" t="str" cm="1">
        <f t="array" aca="1" ref="AF10" ca="1">IF($A10="","",IF($AA10="Fixed",AQ10/3,IF($AA10="Labor",IF(INDIRECT(AF$46&amp;$AK10)=0,0,AQ10/INDIRECT(AF$46&amp;$AK10)),IF(AQ$25=0,0,AQ10/AQ$25))))</f>
        <v/>
      </c>
      <c r="AG10" s="375" t="str" cm="1">
        <f t="array" aca="1" ref="AG10" ca="1">IF($A10="","",IF($AA10="Fixed",AU10/12,IF($AA10="Labor",IF(INDIRECT(AG$46&amp;$AK10)=0,0,AU10/INDIRECT(AG$46&amp;$AK10)),IF(AU$25=0,0,AU10/AU$25))))</f>
        <v/>
      </c>
      <c r="AH10" s="61" t="str">
        <f>IF($A10="","",IF(AN10=0,0,AO10/AN10))</f>
        <v/>
      </c>
      <c r="AI10" s="61" t="str">
        <f>IF($A10="","",IF(AV10=0,0,AO10/AV10))</f>
        <v/>
      </c>
      <c r="AJ10" s="61" t="str">
        <f>IF($A10="","",IF(AW10=0,0,AP10/AW10))</f>
        <v/>
      </c>
      <c r="AK10" s="3">
        <f>IF(ISERROR(MATCH((9&amp;H10)*1,H$1:H$92,0)),ROW(L$93),MATCH((9&amp;H10)*1,H$1:H$92,0))</f>
        <v>93</v>
      </c>
      <c r="AL10" s="3"/>
      <c r="AM10" s="3"/>
      <c r="AN10" s="364">
        <v>0</v>
      </c>
      <c r="AO10" s="364">
        <v>0</v>
      </c>
      <c r="AP10" s="364">
        <v>0</v>
      </c>
      <c r="AQ10" s="352">
        <f>SUM(AR10:AT10)</f>
        <v>0</v>
      </c>
      <c r="AR10" s="352">
        <v>0</v>
      </c>
      <c r="AS10" s="352">
        <v>0</v>
      </c>
      <c r="AT10" s="352">
        <v>0</v>
      </c>
      <c r="AU10" s="364">
        <v>0</v>
      </c>
      <c r="AV10" s="364">
        <v>0</v>
      </c>
      <c r="AW10" s="364">
        <v>0</v>
      </c>
      <c r="AX10" s="280">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f>AX10</f>
        <v>0</v>
      </c>
      <c r="CI10" s="3" cm="1">
        <f t="array" ref="CI10">IF(OR(CI$21&lt;=$J$20,$A10=""),AY10,TREND(BW10:CH10,BW$26:CH$26,CI$26))</f>
        <v>0</v>
      </c>
      <c r="CJ10" s="3" cm="1">
        <f t="array" ref="CJ10">IF(OR(CJ$21&lt;=$J$20,$A10=""),AZ10,TREND(BX10:CI10,BX$26:CI$26,CJ$26))</f>
        <v>0</v>
      </c>
      <c r="CK10" s="3" cm="1">
        <f t="array" ref="CK10">IF(OR(CK$21&lt;=$J$20,$A10=""),BA10,TREND(BY10:CJ10,BY$26:CJ$26,CK$26))</f>
        <v>0</v>
      </c>
      <c r="CL10" s="3" cm="1">
        <f t="array" ref="CL10">IF(OR(CL$21&lt;=$J$20,$A10=""),BB10,TREND(BZ10:CK10,BZ$26:CK$26,CL$26))</f>
        <v>0</v>
      </c>
      <c r="CM10" s="3" cm="1">
        <f t="array" ref="CM10">IF(OR(CM$21&lt;=$J$20,$A10=""),BC10,TREND(CA10:CL10,CA$26:CL$26,CM$26))</f>
        <v>0</v>
      </c>
      <c r="CN10" s="3" cm="1">
        <f t="array" ref="CN10">IF(OR(CN$21&lt;=$J$20,$A10=""),BD10,TREND(CB10:CM10,CB$26:CM$26,CN$26))</f>
        <v>0</v>
      </c>
      <c r="CO10" s="3" cm="1">
        <f t="array" ref="CO10">IF(OR(CO$21&lt;=$J$20,$A10=""),BE10,TREND(CC10:CN10,CC$26:CN$26,CO$26))</f>
        <v>0</v>
      </c>
      <c r="CP10" s="3" cm="1">
        <f t="array" ref="CP10">IF(OR(CP$21&lt;=$J$20,$A10=""),BF10,TREND(CD10:CO10,CD$26:CO$26,CP$26))</f>
        <v>0</v>
      </c>
      <c r="CQ10" s="3" cm="1">
        <f t="array" ref="CQ10">IF(OR(CQ$21&lt;=$J$20,$A10=""),BG10,TREND(CE10:CP10,CE$26:CP$26,CQ$26))</f>
        <v>0</v>
      </c>
      <c r="CR10" s="3" cm="1">
        <f t="array" ref="CR10">IF(OR(CR$21&lt;=$J$20,$A10=""),BH10,TREND(CF10:CQ10,CF$26:CQ$26,CR$26))</f>
        <v>0</v>
      </c>
      <c r="CS10" s="3" cm="1">
        <f t="array" ref="CS10">IF(OR(CS$21&lt;=$J$20,$A10=""),BI10,TREND(CG10:CR10,CG$26:CR$26,CS$26))</f>
        <v>0</v>
      </c>
      <c r="CT10" s="60" t="str">
        <f>$CU$22&amp;"_"&amp;L10</f>
        <v>0_</v>
      </c>
      <c r="CU10" s="71" t="b" cm="1">
        <f t="array" aca="1" ref="CU10" ca="1">INDIRECT("CYFDRIVER!"&amp;CU$44&amp;$DG10)</f>
        <v>1</v>
      </c>
      <c r="CV10" s="71" t="b" cm="1">
        <f t="array" aca="1" ref="CV10" ca="1">INDIRECT("CYFDRIVER!"&amp;CV$44&amp;$DG10)</f>
        <v>1</v>
      </c>
      <c r="CW10" s="71" t="b" cm="1">
        <f t="array" aca="1" ref="CW10" ca="1">INDIRECT("CYFDRIVER!"&amp;CW$44&amp;$DG10)</f>
        <v>1</v>
      </c>
      <c r="CX10" s="71" t="b" cm="1">
        <f t="array" aca="1" ref="CX10" ca="1">INDIRECT("CYFDRIVER!"&amp;CX$44&amp;$DG10)</f>
        <v>1</v>
      </c>
      <c r="CY10" s="71" t="b" cm="1">
        <f t="array" aca="1" ref="CY10" ca="1">INDIRECT("CYFDRIVER!"&amp;CY$44&amp;$DG10)</f>
        <v>1</v>
      </c>
      <c r="CZ10" s="71" t="b" cm="1">
        <f t="array" aca="1" ref="CZ10" ca="1">INDIRECT("CYFDRIVER!"&amp;CZ$44&amp;$DG10)</f>
        <v>1</v>
      </c>
      <c r="DA10" s="71" t="b" cm="1">
        <f t="array" aca="1" ref="DA10" ca="1">INDIRECT("CYFDRIVER!"&amp;DA$44&amp;$DG10)</f>
        <v>1</v>
      </c>
      <c r="DB10" s="71" t="b" cm="1">
        <f t="array" aca="1" ref="DB10" ca="1">INDIRECT("CYFDRIVER!"&amp;DB$44&amp;$DG10)</f>
        <v>1</v>
      </c>
      <c r="DC10" s="71" t="b" cm="1">
        <f t="array" aca="1" ref="DC10" ca="1">INDIRECT("CYFDRIVER!"&amp;DC$44&amp;$DG10)</f>
        <v>0</v>
      </c>
      <c r="DD10" s="71" t="b" cm="1">
        <f t="array" aca="1" ref="DD10" ca="1">INDIRECT("CYFDRIVER!"&amp;DD$44&amp;$DG10)</f>
        <v>0</v>
      </c>
      <c r="DE10" s="71" t="b" cm="1">
        <f t="array" aca="1" ref="DE10" ca="1">INDIRECT("CYFDRIVER!"&amp;DE$44&amp;$DG10)</f>
        <v>0</v>
      </c>
      <c r="DF10" s="71" t="b" cm="1">
        <f t="array" aca="1" ref="DF10" ca="1">INDIRECT("CYFDRIVER!"&amp;DF$44&amp;$DG10)</f>
        <v>0</v>
      </c>
      <c r="DG10" s="406">
        <f>IF(ISNA(MATCH(CT10,CYFDriver!A:A,0)),4,MATCH(CT10,CYFDriver!A:A,0))</f>
        <v>4</v>
      </c>
    </row>
    <row r="11" spans="1:111" ht="16.8">
      <c r="A11" s="16"/>
      <c r="B11" s="16"/>
      <c r="C11" s="13"/>
      <c r="D11" s="16"/>
      <c r="E11" s="16"/>
      <c r="F11" s="16"/>
      <c r="G11" s="397" t="str">
        <f t="shared" ref="G11:L11" si="14">G9</f>
        <v>Dept.Dept</v>
      </c>
      <c r="H11" s="397" t="str">
        <f t="shared" si="14"/>
        <v>ACCT.Acct</v>
      </c>
      <c r="I11" s="452" t="str">
        <f t="shared" si="14"/>
        <v>Acct.Description</v>
      </c>
      <c r="J11" s="452" t="str">
        <f t="shared" si="14"/>
        <v>Acct.CYFMethod</v>
      </c>
      <c r="K11" s="452" t="str">
        <f t="shared" si="14"/>
        <v>Acct.BudgetType</v>
      </c>
      <c r="L11" s="452" t="str">
        <f t="shared" si="14"/>
        <v>Acct.FSDetail</v>
      </c>
      <c r="M11" s="16"/>
      <c r="N11" s="16"/>
      <c r="O11" s="16"/>
      <c r="P11" s="16"/>
      <c r="Q11" s="16"/>
      <c r="R11" s="16"/>
      <c r="S11" s="16"/>
      <c r="T11" s="16"/>
      <c r="U11" s="16"/>
      <c r="V11" s="16"/>
      <c r="W11" s="16"/>
      <c r="X11" s="16"/>
      <c r="Y11" s="16"/>
      <c r="Z11" s="397"/>
      <c r="AA11" s="397"/>
      <c r="AB11" s="397"/>
      <c r="AC11" s="379"/>
      <c r="AD11" s="379"/>
      <c r="AE11" s="379"/>
      <c r="AF11" s="379"/>
      <c r="AG11" s="379"/>
      <c r="AH11" s="16"/>
      <c r="AI11" s="16"/>
      <c r="AJ11" s="16"/>
      <c r="AK11" s="16"/>
      <c r="AL11" s="16"/>
      <c r="AM11" s="16"/>
      <c r="AN11" s="16" t="str">
        <f>AN9</f>
        <v>ACT2019.YTD</v>
      </c>
      <c r="AO11" s="16" t="str">
        <f>AO9</f>
        <v>ACT2020.YTD</v>
      </c>
      <c r="AP11" s="16" t="str">
        <f>AP9</f>
        <v>ACT2020.P8</v>
      </c>
      <c r="AQ11" s="16"/>
      <c r="AR11" s="16" t="str">
        <f t="shared" ref="AR11:AT11" si="15">AR9</f>
        <v>ACT2020.P8</v>
      </c>
      <c r="AS11" s="16" t="str">
        <f t="shared" si="15"/>
        <v>ACT2020.P7</v>
      </c>
      <c r="AT11" s="16" t="str">
        <f t="shared" si="15"/>
        <v>ACT2020.P6</v>
      </c>
      <c r="AU11" s="16" t="str">
        <f t="shared" ref="AU11:CG11" si="16">AU9</f>
        <v>BUD2020.TOT</v>
      </c>
      <c r="AV11" s="16" t="str">
        <f t="shared" si="16"/>
        <v>BUD2020.YTD</v>
      </c>
      <c r="AW11" s="16" t="str">
        <f t="shared" ref="AW11" si="17">AW9</f>
        <v>BUD2020.P8</v>
      </c>
      <c r="AX11" s="284" t="str">
        <f t="shared" si="16"/>
        <v>ACT2020.P1</v>
      </c>
      <c r="AY11" s="16" t="str">
        <f t="shared" si="16"/>
        <v>ACT2020.P2</v>
      </c>
      <c r="AZ11" s="16" t="str">
        <f t="shared" si="16"/>
        <v>ACT2020.P3</v>
      </c>
      <c r="BA11" s="16" t="str">
        <f t="shared" si="16"/>
        <v>ACT2020.P4</v>
      </c>
      <c r="BB11" s="16" t="str">
        <f t="shared" si="16"/>
        <v>ACT2020.P5</v>
      </c>
      <c r="BC11" s="16" t="str">
        <f t="shared" si="16"/>
        <v>ACT2020.P6</v>
      </c>
      <c r="BD11" s="16" t="str">
        <f t="shared" si="16"/>
        <v>ACT2020.P7</v>
      </c>
      <c r="BE11" s="16" t="str">
        <f t="shared" si="16"/>
        <v>ACT2020.P8</v>
      </c>
      <c r="BF11" s="16" t="str">
        <f t="shared" si="16"/>
        <v>ACT2020.P9</v>
      </c>
      <c r="BG11" s="16" t="str">
        <f t="shared" si="16"/>
        <v>ACT2020.P10</v>
      </c>
      <c r="BH11" s="16" t="str">
        <f t="shared" si="16"/>
        <v>ACT2020.P11</v>
      </c>
      <c r="BI11" s="16" t="str">
        <f t="shared" si="16"/>
        <v>ACT2020.P12</v>
      </c>
      <c r="BJ11" s="16" t="str">
        <f t="shared" si="16"/>
        <v>BUD2020.P1</v>
      </c>
      <c r="BK11" s="16" t="str">
        <f t="shared" si="16"/>
        <v>BUD2020.P2</v>
      </c>
      <c r="BL11" s="16" t="str">
        <f t="shared" si="16"/>
        <v>BUD2020.P3</v>
      </c>
      <c r="BM11" s="16" t="str">
        <f t="shared" si="16"/>
        <v>BUD2020.P4</v>
      </c>
      <c r="BN11" s="16" t="str">
        <f t="shared" si="16"/>
        <v>BUD2020.P5</v>
      </c>
      <c r="BO11" s="16" t="str">
        <f t="shared" si="16"/>
        <v>BUD2020.P6</v>
      </c>
      <c r="BP11" s="16" t="str">
        <f t="shared" si="16"/>
        <v>BUD2020.P7</v>
      </c>
      <c r="BQ11" s="16" t="str">
        <f t="shared" si="16"/>
        <v>BUD2020.P8</v>
      </c>
      <c r="BR11" s="16" t="str">
        <f t="shared" si="16"/>
        <v>BUD2020.P9</v>
      </c>
      <c r="BS11" s="16" t="str">
        <f t="shared" si="16"/>
        <v>BUD2020.P10</v>
      </c>
      <c r="BT11" s="16" t="str">
        <f t="shared" si="16"/>
        <v>BUD2020.P11</v>
      </c>
      <c r="BU11" s="16" t="str">
        <f t="shared" si="16"/>
        <v>BUD2020.P12</v>
      </c>
      <c r="BV11" s="16" t="str">
        <f t="shared" si="16"/>
        <v>ACT2019.P1</v>
      </c>
      <c r="BW11" s="16" t="str">
        <f t="shared" si="16"/>
        <v>ACT2019.P2</v>
      </c>
      <c r="BX11" s="16" t="str">
        <f t="shared" si="16"/>
        <v>ACT2019.P3</v>
      </c>
      <c r="BY11" s="16" t="str">
        <f t="shared" si="16"/>
        <v>ACT2019.P4</v>
      </c>
      <c r="BZ11" s="16" t="str">
        <f t="shared" si="16"/>
        <v>ACT2019.P5</v>
      </c>
      <c r="CA11" s="16" t="str">
        <f t="shared" si="16"/>
        <v>ACT2019.P6</v>
      </c>
      <c r="CB11" s="16" t="str">
        <f t="shared" si="16"/>
        <v>ACT2019.P7</v>
      </c>
      <c r="CC11" s="16" t="str">
        <f t="shared" si="16"/>
        <v>ACT2019.P8</v>
      </c>
      <c r="CD11" s="16" t="str">
        <f t="shared" si="16"/>
        <v>ACT2019.P9</v>
      </c>
      <c r="CE11" s="16" t="str">
        <f t="shared" si="16"/>
        <v>ACT2019.P10</v>
      </c>
      <c r="CF11" s="16" t="str">
        <f t="shared" si="16"/>
        <v>ACT2019.P11</v>
      </c>
      <c r="CG11" s="16" t="str">
        <f t="shared" si="16"/>
        <v>ACT2019.P12</v>
      </c>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row>
    <row r="12" spans="1:111" ht="16.8">
      <c r="C12" s="13"/>
      <c r="D12" s="60" t="s">
        <v>684</v>
      </c>
      <c r="E12" s="5" t="str">
        <f>IF(ROW()&lt;28,"","[Save]")</f>
        <v/>
      </c>
      <c r="F12" s="101"/>
      <c r="G12" s="6"/>
      <c r="H12" s="6"/>
      <c r="I12" s="449"/>
      <c r="J12" s="449"/>
      <c r="K12" s="449"/>
      <c r="L12" s="449"/>
      <c r="M12" s="419">
        <f>AX12</f>
        <v>0</v>
      </c>
      <c r="N12" s="419">
        <f>IF(OR(N$21&lt;=$J$20,$A12=""),AY12,IF($J12="NoFcst",0,IF($AA12="Fixed",$AC12*(1+CV12),IF($J12="RemBud",BK12*(1+CV12),IF($J12="Rolling12",($AH12*BW12)*(1+CV12),IF($AA12="PctBud",($AI12*BK12)*(1+CV12),IF($J12="CapBud",(MIN(MAX($AU12-SUM($M12:M12),0),BK12))*(1+CV12),IF($AA12="PctSal",($AC12*N$27)*(1+CV12),IF($AA12="FTERate",($AC12*N$28)*(1+CV12),IF($J12="Trend",CI12*(1+CV12),($AO12/$AO$26*N$26)*(1+CV12)))))))))))</f>
        <v>0</v>
      </c>
      <c r="O12" s="419">
        <f>IF(OR(O$21&lt;=$J$20,$A12=""),AZ12,IF($J12="NoFcst",0,IF($AA12="Fixed",$AC12*(1+CW12),IF($J12="RemBud",BL12*(1+CW12),IF($J12="Rolling12",($AH12*BX12)*(1+CW12),IF($AA12="PctBud",($AI12*BL12)*(1+CW12),IF($J12="CapBud",(MIN(MAX($AU12-SUM($M12:N12),0),BL12))*(1+CW12),IF($AA12="PctSal",($AC12*O$27)*(1+CW12),IF($AA12="FTERate",($AC12*O$28)*(1+CW12),IF($J12="Trend",CJ12*(1+CW12),($AO12/$AO$26*O$26)*(1+CW12)))))))))))</f>
        <v>0</v>
      </c>
      <c r="P12" s="419">
        <f>IF(OR(P$21&lt;=$J$20,$A12=""),BA12,IF($J12="NoFcst",0,IF($AA12="Fixed",$AC12*(1+CX12),IF($J12="RemBud",BM12*(1+CX12),IF($J12="Rolling12",($AH12*BY12)*(1+CX12),IF($AA12="PctBud",($AI12*BM12)*(1+CX12),IF($J12="CapBud",(MIN(MAX($AU12-SUM($M12:O12),0),BM12))*(1+CX12),IF($AA12="PctSal",($AC12*P$27)*(1+CX12),IF($AA12="FTERate",($AC12*P$28)*(1+CX12),IF($J12="Trend",CK12*(1+CX12),($AO12/$AO$26*P$26)*(1+CX12)))))))))))</f>
        <v>0</v>
      </c>
      <c r="Q12" s="419">
        <f>IF(OR(Q$21&lt;=$J$20,$A12=""),BB12,IF($J12="NoFcst",0,IF($AA12="Fixed",$AC12*(1+CY12),IF($J12="RemBud",BN12*(1+CY12),IF($J12="Rolling12",($AH12*BZ12)*(1+CY12),IF($AA12="PctBud",($AI12*BN12)*(1+CY12),IF($J12="CapBud",(MIN(MAX($AU12-SUM($M12:P12),0),BN12))*(1+CY12),IF($AA12="PctSal",($AC12*Q$27)*(1+CY12),IF($AA12="FTERate",($AC12*Q$28)*(1+CY12),IF($J12="Trend",CL12*(1+CY12),($AO12/$AO$26*Q$26)*(1+CY12)))))))))))</f>
        <v>0</v>
      </c>
      <c r="R12" s="419">
        <f>IF(OR(R$21&lt;=$J$20,$A12=""),BC12,IF($J12="NoFcst",0,IF($AA12="Fixed",$AC12*(1+CZ12),IF($J12="RemBud",BO12*(1+CZ12),IF($J12="Rolling12",($AH12*CA12)*(1+CZ12),IF($AA12="PctBud",($AI12*BO12)*(1+CZ12),IF($J12="CapBud",(MIN(MAX($AU12-SUM($M12:Q12),0),BO12))*(1+CZ12),IF($AA12="PctSal",($AC12*R$27)*(1+CZ12),IF($AA12="FTERate",($AC12*R$28)*(1+CZ12),IF($J12="Trend",CM12*(1+CZ12),($AO12/$AO$26*R$26)*(1+CZ12)))))))))))</f>
        <v>0</v>
      </c>
      <c r="S12" s="419">
        <f>IF(OR(S$21&lt;=$J$20,$A12=""),BD12,IF($J12="NoFcst",0,IF($AA12="Fixed",$AC12*(1+DA12),IF($J12="RemBud",BP12*(1+DA12),IF($J12="Rolling12",($AH12*CB12)*(1+DA12),IF($AA12="PctBud",($AI12*BP12)*(1+DA12),IF($J12="CapBud",(MIN(MAX($AU12-SUM($M12:R12),0),BP12))*(1+DA12),IF($AA12="PctSal",($AC12*S$27)*(1+DA12),IF($AA12="FTERate",($AC12*S$28)*(1+DA12),IF($J12="Trend",CN12*(1+DA12),($AO12/$AO$26*S$26)*(1+DA12)))))))))))</f>
        <v>0</v>
      </c>
      <c r="T12" s="419">
        <f>IF(OR(T$21&lt;=$J$20,$A12=""),BE12,IF($J12="NoFcst",0,IF($AA12="Fixed",$AC12*(1+DB12),IF($J12="RemBud",BQ12*(1+DB12),IF($J12="Rolling12",($AH12*CC12)*(1+DB12),IF($AA12="PctBud",($AI12*BQ12)*(1+DB12),IF($J12="CapBud",(MIN(MAX($AU12-SUM($M12:S12),0),BQ12))*(1+DB12),IF($AA12="PctSal",($AC12*T$27)*(1+DB12),IF($AA12="FTERate",($AC12*T$28)*(1+DB12),IF($J12="Trend",CO12*(1+DB12),($AO12/$AO$26*T$26)*(1+DB12)))))))))))</f>
        <v>0</v>
      </c>
      <c r="U12" s="419">
        <f>IF(OR(U$21&lt;=$J$20,$A12=""),BF12,IF($J12="NoFcst",0,IF($AA12="Fixed",$AC12*(1+DC12),IF($J12="RemBud",BR12*(1+DC12),IF($J12="Rolling12",($AH12*CD12)*(1+DC12),IF($AA12="PctBud",($AI12*BR12)*(1+DC12),IF($J12="CapBud",(MIN(MAX($AU12-SUM($M12:T12),0),BR12))*(1+DC12),IF($AA12="PctSal",($AC12*U$27)*(1+DC12),IF($AA12="FTERate",($AC12*U$28)*(1+DC12),IF($J12="Trend",CP12*(1+DC12),($AO12/$AO$26*U$26)*(1+DC12)))))))))))</f>
        <v>0</v>
      </c>
      <c r="V12" s="419">
        <f>IF(OR(V$21&lt;=$J$20,$A12=""),BG12,IF($J12="NoFcst",0,IF($AA12="Fixed",$AC12*(1+DD12),IF($J12="RemBud",BS12*(1+DD12),IF($J12="Rolling12",($AH12*CE12)*(1+DD12),IF($AA12="PctBud",($AI12*BS12)*(1+DD12),IF($J12="CapBud",(MIN(MAX($AU12-SUM($M12:U12),0),BS12))*(1+DD12),IF($AA12="PctSal",($AC12*V$27)*(1+DD12),IF($AA12="FTERate",($AC12*V$28)*(1+DD12),IF($J12="Trend",CQ12*(1+DD12),($AO12/$AO$26*V$26)*(1+DD12)))))))))))</f>
        <v>0</v>
      </c>
      <c r="W12" s="419">
        <f>IF(OR(W$21&lt;=$J$20,$A12=""),BH12,IF($J12="NoFcst",0,IF($AA12="Fixed",$AC12*(1+DE12),IF($J12="RemBud",BT12*(1+DE12),IF($J12="Rolling12",($AH12*CF12)*(1+DE12),IF($AA12="PctBud",($AI12*BT12)*(1+DE12),IF($J12="CapBud",(MIN(MAX($AU12-SUM($M12:V12),0),BT12))*(1+DE12),IF($AA12="PctSal",($AC12*W$27)*(1+DE12),IF($AA12="FTERate",($AC12*W$28)*(1+DE12),IF($J12="Trend",CR12*(1+DE12),($AO12/$AO$26*W$26)*(1+DE12)))))))))))</f>
        <v>0</v>
      </c>
      <c r="X12" s="419">
        <f>IF(OR(X$21&lt;=$J$20,$A12=""),BI12,IF($J12="NoFcst",0,IF($AA12="Fixed",$AC12*(1+DF12),IF($J12="RemBud",BU12*(1+DF12),IF($J12="Rolling12",($AH12*CG12)*(1+DF12),IF($AA12="PctBud",($AI12*BU12)*(1+DF12),IF($J12="CapBud",(MIN(MAX($AU12-SUM($M12:W12),0),BU12))*(1+DF12),IF($AA12="PctSal",($AC12*X$27)*(1+DF12),IF($AA12="FTERate",($AC12*X$28)*(1+DF12),IF($J12="Trend",CS12*(1+DF12),($AO12/$AO$26*X$26)*(1+DF12)))))))))))</f>
        <v>0</v>
      </c>
      <c r="Y12" s="3" t="str">
        <f>IF($A12="","",SUM(M12:X12))</f>
        <v/>
      </c>
      <c r="Z12" s="6">
        <f>1</f>
        <v>1</v>
      </c>
      <c r="AA12" s="393">
        <f>IF(LEFT(RIGHT($J12,4),1)&lt;&gt;"_",J12,LEFT($J12,LEN($J12)-4))</f>
        <v>0</v>
      </c>
      <c r="AB12" s="393" t="str">
        <f>IF(LEFT(RIGHT(J12,4),1)&lt;&gt;"_","YTD",RIGHT(J12,3))</f>
        <v>YTD</v>
      </c>
      <c r="AC12" s="374" t="str">
        <f>IF($AB12=$AE$47,$AE12,IF($AB12=$AF$47,$AF12,IF($AB12=$AG$47,$AG12,$AD12)))</f>
        <v/>
      </c>
      <c r="AD12" s="375" t="str">
        <f>IF($A12="","",IF($AA12="Fixed",AO12/$J$20,IF($AA12="PctSal",IF(AO$27=0,0,AO12/AO$27),IF($AA12="FTERate",IF(AO$28=0,0,AO12/AO$28),IF(AO$25=0,0,AO12/AO$25)))))</f>
        <v/>
      </c>
      <c r="AE12" s="375" t="str">
        <f>IF($A12="","",IF($AA12="Fixed",AP12,IF($AA12="PctSal",IF(AP$27=0,0,AP12/AP$27),IF($AA12="FTERate",IF(AP$28=0,0,AP12/AP$28),IF(AP$25=0,0,AP12/AP$25)))))</f>
        <v/>
      </c>
      <c r="AF12" s="375" t="str">
        <f>IF($A12="","",IF($AA12="Fixed",AQ12/3,IF($AA12="PctSal",IF(AQ$27=0,0,AQ12/AQ$27),IF($AA12="FTERate",IF(AQ$28=0,0,AQ12/AQ$28),IF(AQ$25=0,0,AQ12/AQ$25)))))</f>
        <v/>
      </c>
      <c r="AG12" s="375" t="str">
        <f>IF($A12="","",IF($AA12="Fixed",AU12/12,IF($AA12="PctSal",IF(AU$27=0,0,AU12/AU$27),IF($AA12="FTERate",IF(AU$28=0,0,AU12/AU$28),IF(AU$25=0,0,AU12/AU$25)))))</f>
        <v/>
      </c>
      <c r="AH12" s="61" t="str">
        <f>IF($A12="","",IF(AN12=0,0,AO12/AN12))</f>
        <v/>
      </c>
      <c r="AI12" s="61" t="str">
        <f>IF($A12="","",IF(AV12=0,0,AO12/AV12))</f>
        <v/>
      </c>
      <c r="AJ12" s="61" t="str">
        <f>IF($A12="","",IF(AW12=0,0,AP12/AW12))</f>
        <v/>
      </c>
      <c r="AK12" s="103"/>
      <c r="AL12" s="103"/>
      <c r="AM12" s="103"/>
      <c r="AN12" s="364">
        <v>0</v>
      </c>
      <c r="AO12" s="364">
        <v>0</v>
      </c>
      <c r="AP12" s="364">
        <v>0</v>
      </c>
      <c r="AQ12" s="352">
        <f>SUM(AR12:AT12)</f>
        <v>0</v>
      </c>
      <c r="AR12" s="352">
        <v>0</v>
      </c>
      <c r="AS12" s="352">
        <v>0</v>
      </c>
      <c r="AT12" s="352">
        <v>0</v>
      </c>
      <c r="AU12" s="364">
        <v>0</v>
      </c>
      <c r="AV12" s="364">
        <v>0</v>
      </c>
      <c r="AW12" s="364">
        <v>0</v>
      </c>
      <c r="AX12" s="280">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f>AX12</f>
        <v>0</v>
      </c>
      <c r="CI12" s="3" cm="1">
        <f t="array" ref="CI12">IF(OR(CI$21&lt;=$J$20,$A12=""),AY12,TREND(BW12:CH12,BW$26:CH$26,CI$26))</f>
        <v>0</v>
      </c>
      <c r="CJ12" s="3" cm="1">
        <f t="array" ref="CJ12">IF(OR(CJ$21&lt;=$J$20,$A12=""),AZ12,TREND(BX12:CI12,BX$26:CI$26,CJ$26))</f>
        <v>0</v>
      </c>
      <c r="CK12" s="3" cm="1">
        <f t="array" ref="CK12">IF(OR(CK$21&lt;=$J$20,$A12=""),BA12,TREND(BY12:CJ12,BY$26:CJ$26,CK$26))</f>
        <v>0</v>
      </c>
      <c r="CL12" s="3" cm="1">
        <f t="array" ref="CL12">IF(OR(CL$21&lt;=$J$20,$A12=""),BB12,TREND(BZ12:CK12,BZ$26:CK$26,CL$26))</f>
        <v>0</v>
      </c>
      <c r="CM12" s="3" cm="1">
        <f t="array" ref="CM12">IF(OR(CM$21&lt;=$J$20,$A12=""),BC12,TREND(CA12:CL12,CA$26:CL$26,CM$26))</f>
        <v>0</v>
      </c>
      <c r="CN12" s="3" cm="1">
        <f t="array" ref="CN12">IF(OR(CN$21&lt;=$J$20,$A12=""),BD12,TREND(CB12:CM12,CB$26:CM$26,CN$26))</f>
        <v>0</v>
      </c>
      <c r="CO12" s="3" cm="1">
        <f t="array" ref="CO12">IF(OR(CO$21&lt;=$J$20,$A12=""),BE12,TREND(CC12:CN12,CC$26:CN$26,CO$26))</f>
        <v>0</v>
      </c>
      <c r="CP12" s="3" cm="1">
        <f t="array" ref="CP12">IF(OR(CP$21&lt;=$J$20,$A12=""),BF12,TREND(CD12:CO12,CD$26:CO$26,CP$26))</f>
        <v>0</v>
      </c>
      <c r="CQ12" s="3" cm="1">
        <f t="array" ref="CQ12">IF(OR(CQ$21&lt;=$J$20,$A12=""),BG12,TREND(CE12:CP12,CE$26:CP$26,CQ$26))</f>
        <v>0</v>
      </c>
      <c r="CR12" s="3" cm="1">
        <f t="array" ref="CR12">IF(OR(CR$21&lt;=$J$20,$A12=""),BH12,TREND(CF12:CQ12,CF$26:CQ$26,CR$26))</f>
        <v>0</v>
      </c>
      <c r="CS12" s="3" cm="1">
        <f t="array" ref="CS12">IF(OR(CS$21&lt;=$J$20,$A12=""),BI12,TREND(CG12:CR12,CG$26:CR$26,CS$26))</f>
        <v>0</v>
      </c>
      <c r="CT12" s="60" t="str">
        <f>$CU$22&amp;"_"&amp;L12</f>
        <v>0_</v>
      </c>
      <c r="CU12" s="71" t="b" cm="1">
        <f t="array" aca="1" ref="CU12" ca="1">INDIRECT("CYFDRIVER!"&amp;CU$44&amp;$DG12)</f>
        <v>1</v>
      </c>
      <c r="CV12" s="71" t="b" cm="1">
        <f t="array" aca="1" ref="CV12" ca="1">INDIRECT("CYFDRIVER!"&amp;CV$44&amp;$DG12)</f>
        <v>1</v>
      </c>
      <c r="CW12" s="71" t="b" cm="1">
        <f t="array" aca="1" ref="CW12" ca="1">INDIRECT("CYFDRIVER!"&amp;CW$44&amp;$DG12)</f>
        <v>1</v>
      </c>
      <c r="CX12" s="71" t="b" cm="1">
        <f t="array" aca="1" ref="CX12" ca="1">INDIRECT("CYFDRIVER!"&amp;CX$44&amp;$DG12)</f>
        <v>1</v>
      </c>
      <c r="CY12" s="71" t="b" cm="1">
        <f t="array" aca="1" ref="CY12" ca="1">INDIRECT("CYFDRIVER!"&amp;CY$44&amp;$DG12)</f>
        <v>1</v>
      </c>
      <c r="CZ12" s="71" t="b" cm="1">
        <f t="array" aca="1" ref="CZ12" ca="1">INDIRECT("CYFDRIVER!"&amp;CZ$44&amp;$DG12)</f>
        <v>1</v>
      </c>
      <c r="DA12" s="71" t="b" cm="1">
        <f t="array" aca="1" ref="DA12" ca="1">INDIRECT("CYFDRIVER!"&amp;DA$44&amp;$DG12)</f>
        <v>1</v>
      </c>
      <c r="DB12" s="71" t="b" cm="1">
        <f t="array" aca="1" ref="DB12" ca="1">INDIRECT("CYFDRIVER!"&amp;DB$44&amp;$DG12)</f>
        <v>1</v>
      </c>
      <c r="DC12" s="71" t="b" cm="1">
        <f t="array" aca="1" ref="DC12" ca="1">INDIRECT("CYFDRIVER!"&amp;DC$44&amp;$DG12)</f>
        <v>0</v>
      </c>
      <c r="DD12" s="71" t="b" cm="1">
        <f t="array" aca="1" ref="DD12" ca="1">INDIRECT("CYFDRIVER!"&amp;DD$44&amp;$DG12)</f>
        <v>0</v>
      </c>
      <c r="DE12" s="71" t="b" cm="1">
        <f t="array" aca="1" ref="DE12" ca="1">INDIRECT("CYFDRIVER!"&amp;DE$44&amp;$DG12)</f>
        <v>0</v>
      </c>
      <c r="DF12" s="71" t="b" cm="1">
        <f t="array" aca="1" ref="DF12" ca="1">INDIRECT("CYFDRIVER!"&amp;DF$44&amp;$DG12)</f>
        <v>0</v>
      </c>
      <c r="DG12" s="406">
        <f>IF(ISNA(MATCH(CT12,CYFDriver!A:A,0)),4,MATCH(CT12,CYFDriver!A:A,0))</f>
        <v>4</v>
      </c>
    </row>
    <row r="13" spans="1:111" ht="16.8">
      <c r="A13" s="16"/>
      <c r="B13" s="16"/>
      <c r="C13" s="13"/>
      <c r="D13" s="16"/>
      <c r="E13" s="16"/>
      <c r="F13" s="16"/>
      <c r="G13" s="397" t="str">
        <f t="shared" ref="G13:L13" si="18">G11</f>
        <v>Dept.Dept</v>
      </c>
      <c r="H13" s="397" t="str">
        <f t="shared" si="18"/>
        <v>ACCT.Acct</v>
      </c>
      <c r="I13" s="452" t="str">
        <f t="shared" si="18"/>
        <v>Acct.Description</v>
      </c>
      <c r="J13" s="452" t="str">
        <f t="shared" si="18"/>
        <v>Acct.CYFMethod</v>
      </c>
      <c r="K13" s="452" t="str">
        <f t="shared" si="18"/>
        <v>Acct.BudgetType</v>
      </c>
      <c r="L13" s="452" t="str">
        <f t="shared" si="18"/>
        <v>Acct.FSDetail</v>
      </c>
      <c r="M13" s="16"/>
      <c r="N13" s="16"/>
      <c r="O13" s="16"/>
      <c r="P13" s="16"/>
      <c r="Q13" s="16"/>
      <c r="R13" s="16"/>
      <c r="S13" s="16"/>
      <c r="T13" s="16"/>
      <c r="U13" s="16"/>
      <c r="V13" s="16"/>
      <c r="W13" s="16"/>
      <c r="X13" s="16"/>
      <c r="Y13" s="16"/>
      <c r="Z13" s="397"/>
      <c r="AA13" s="397"/>
      <c r="AB13" s="397"/>
      <c r="AC13" s="379"/>
      <c r="AD13" s="379"/>
      <c r="AE13" s="379"/>
      <c r="AF13" s="379"/>
      <c r="AG13" s="379"/>
      <c r="AH13" s="16"/>
      <c r="AI13" s="16"/>
      <c r="AJ13" s="16"/>
      <c r="AK13" s="16"/>
      <c r="AL13" s="16"/>
      <c r="AM13" s="16"/>
      <c r="AN13" s="16" t="str">
        <f>AN11</f>
        <v>ACT2019.YTD</v>
      </c>
      <c r="AO13" s="16" t="str">
        <f>AO11</f>
        <v>ACT2020.YTD</v>
      </c>
      <c r="AP13" s="16" t="str">
        <f>AP11</f>
        <v>ACT2020.P8</v>
      </c>
      <c r="AQ13" s="16"/>
      <c r="AR13" s="16" t="str">
        <f t="shared" ref="AR13:AT13" si="19">AR11</f>
        <v>ACT2020.P8</v>
      </c>
      <c r="AS13" s="16" t="str">
        <f t="shared" si="19"/>
        <v>ACT2020.P7</v>
      </c>
      <c r="AT13" s="16" t="str">
        <f t="shared" si="19"/>
        <v>ACT2020.P6</v>
      </c>
      <c r="AU13" s="16" t="str">
        <f t="shared" ref="AU13:CG13" si="20">AU11</f>
        <v>BUD2020.TOT</v>
      </c>
      <c r="AV13" s="16" t="str">
        <f t="shared" si="20"/>
        <v>BUD2020.YTD</v>
      </c>
      <c r="AW13" s="16" t="str">
        <f t="shared" si="20"/>
        <v>BUD2020.P8</v>
      </c>
      <c r="AX13" s="284" t="str">
        <f t="shared" si="20"/>
        <v>ACT2020.P1</v>
      </c>
      <c r="AY13" s="16" t="str">
        <f t="shared" si="20"/>
        <v>ACT2020.P2</v>
      </c>
      <c r="AZ13" s="16" t="str">
        <f t="shared" si="20"/>
        <v>ACT2020.P3</v>
      </c>
      <c r="BA13" s="16" t="str">
        <f t="shared" si="20"/>
        <v>ACT2020.P4</v>
      </c>
      <c r="BB13" s="16" t="str">
        <f t="shared" si="20"/>
        <v>ACT2020.P5</v>
      </c>
      <c r="BC13" s="16" t="str">
        <f t="shared" si="20"/>
        <v>ACT2020.P6</v>
      </c>
      <c r="BD13" s="16" t="str">
        <f t="shared" si="20"/>
        <v>ACT2020.P7</v>
      </c>
      <c r="BE13" s="16" t="str">
        <f t="shared" si="20"/>
        <v>ACT2020.P8</v>
      </c>
      <c r="BF13" s="16" t="str">
        <f t="shared" si="20"/>
        <v>ACT2020.P9</v>
      </c>
      <c r="BG13" s="16" t="str">
        <f t="shared" si="20"/>
        <v>ACT2020.P10</v>
      </c>
      <c r="BH13" s="16" t="str">
        <f t="shared" si="20"/>
        <v>ACT2020.P11</v>
      </c>
      <c r="BI13" s="16" t="str">
        <f t="shared" si="20"/>
        <v>ACT2020.P12</v>
      </c>
      <c r="BJ13" s="16" t="str">
        <f t="shared" si="20"/>
        <v>BUD2020.P1</v>
      </c>
      <c r="BK13" s="16" t="str">
        <f t="shared" si="20"/>
        <v>BUD2020.P2</v>
      </c>
      <c r="BL13" s="16" t="str">
        <f t="shared" si="20"/>
        <v>BUD2020.P3</v>
      </c>
      <c r="BM13" s="16" t="str">
        <f t="shared" si="20"/>
        <v>BUD2020.P4</v>
      </c>
      <c r="BN13" s="16" t="str">
        <f t="shared" si="20"/>
        <v>BUD2020.P5</v>
      </c>
      <c r="BO13" s="16" t="str">
        <f t="shared" si="20"/>
        <v>BUD2020.P6</v>
      </c>
      <c r="BP13" s="16" t="str">
        <f t="shared" si="20"/>
        <v>BUD2020.P7</v>
      </c>
      <c r="BQ13" s="16" t="str">
        <f t="shared" si="20"/>
        <v>BUD2020.P8</v>
      </c>
      <c r="BR13" s="16" t="str">
        <f t="shared" si="20"/>
        <v>BUD2020.P9</v>
      </c>
      <c r="BS13" s="16" t="str">
        <f t="shared" si="20"/>
        <v>BUD2020.P10</v>
      </c>
      <c r="BT13" s="16" t="str">
        <f t="shared" si="20"/>
        <v>BUD2020.P11</v>
      </c>
      <c r="BU13" s="16" t="str">
        <f t="shared" si="20"/>
        <v>BUD2020.P12</v>
      </c>
      <c r="BV13" s="16" t="str">
        <f t="shared" si="20"/>
        <v>ACT2019.P1</v>
      </c>
      <c r="BW13" s="16" t="str">
        <f t="shared" si="20"/>
        <v>ACT2019.P2</v>
      </c>
      <c r="BX13" s="16" t="str">
        <f t="shared" si="20"/>
        <v>ACT2019.P3</v>
      </c>
      <c r="BY13" s="16" t="str">
        <f t="shared" si="20"/>
        <v>ACT2019.P4</v>
      </c>
      <c r="BZ13" s="16" t="str">
        <f t="shared" si="20"/>
        <v>ACT2019.P5</v>
      </c>
      <c r="CA13" s="16" t="str">
        <f t="shared" si="20"/>
        <v>ACT2019.P6</v>
      </c>
      <c r="CB13" s="16" t="str">
        <f t="shared" si="20"/>
        <v>ACT2019.P7</v>
      </c>
      <c r="CC13" s="16" t="str">
        <f t="shared" si="20"/>
        <v>ACT2019.P8</v>
      </c>
      <c r="CD13" s="16" t="str">
        <f t="shared" si="20"/>
        <v>ACT2019.P9</v>
      </c>
      <c r="CE13" s="16" t="str">
        <f t="shared" si="20"/>
        <v>ACT2019.P10</v>
      </c>
      <c r="CF13" s="16" t="str">
        <f t="shared" si="20"/>
        <v>ACT2019.P11</v>
      </c>
      <c r="CG13" s="16" t="str">
        <f t="shared" si="20"/>
        <v>ACT2019.P12</v>
      </c>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row>
    <row r="14" spans="1:111" ht="16.8">
      <c r="C14" s="13"/>
      <c r="D14" s="60" t="s">
        <v>685</v>
      </c>
      <c r="E14" s="5" t="str">
        <f>IF(ROW()&lt;28,"","[Save]")</f>
        <v/>
      </c>
      <c r="F14" s="101"/>
      <c r="G14" s="6"/>
      <c r="H14" s="6"/>
      <c r="I14" s="9"/>
      <c r="J14" s="9"/>
      <c r="K14" s="9"/>
      <c r="M14" s="419">
        <f>AX14</f>
        <v>0</v>
      </c>
      <c r="N14" s="419">
        <f>IF(OR(N$21&lt;=$J$20,$A14=""),AY14,IF($J14="NoFcst",0,IF($AA14="Fixed",$AC14*(1+CV14),IF($J14="RemBud",BK14*(1+CV14),IF($J14="Rolling12",($AH14*BW14)*(1+CV14),IF($AA14="PctBud",($AI14*BK14)*(1+CV14),IF($J14="CapBud",MIN(MAX($AU14-SUM($M14:M14),0),BK14)*(1+CV14),IF($AA14="Variable",($AC14*N$25)*(1+CV14),IF($J14="Trend",CI14*(1+CV14),IF($AA14="Hours",($AC14*N$26)*(1+CV14),($AO14/$AO$26*N$26)*(1+CV14)))))))))))</f>
        <v>0</v>
      </c>
      <c r="O14" s="419">
        <f>IF(OR(O$21&lt;=$J$20,$A14=""),AZ14,IF($J14="NoFcst",0,IF($AA14="Fixed",$AC14*(1+CW14),IF($J14="RemBud",BL14*(1+CW14),IF($J14="Rolling12",($AH14*BX14)*(1+CW14),IF($AA14="PctBud",($AI14*BL14)*(1+CW14),IF($J14="CapBud",MIN(MAX($AU14-SUM($M14:N14),0),BL14)*(1+CW14),IF($AA14="Variable",($AC14*O$25)*(1+CW14),IF($J14="Trend",CJ14*(1+CW14),IF($AA14="Hours",($AC14*O$26)*(1+CW14),($AO14/$AO$26*O$26)*(1+CW14)))))))))))</f>
        <v>0</v>
      </c>
      <c r="P14" s="419">
        <f>IF(OR(P$21&lt;=$J$20,$A14=""),BA14,IF($J14="NoFcst",0,IF($AA14="Fixed",$AC14*(1+CX14),IF($J14="RemBud",BM14*(1+CX14),IF($J14="Rolling12",($AH14*BY14)*(1+CX14),IF($AA14="PctBud",($AI14*BM14)*(1+CX14),IF($J14="CapBud",MIN(MAX($AU14-SUM($M14:O14),0),BM14)*(1+CX14),IF($AA14="Variable",($AC14*P$25)*(1+CX14),IF($J14="Trend",CK14*(1+CX14),IF($AA14="Hours",($AC14*P$26)*(1+CX14),($AO14/$AO$26*P$26)*(1+CX14)))))))))))</f>
        <v>0</v>
      </c>
      <c r="Q14" s="419">
        <f>IF(OR(Q$21&lt;=$J$20,$A14=""),BB14,IF($J14="NoFcst",0,IF($AA14="Fixed",$AC14*(1+CY14),IF($J14="RemBud",BN14*(1+CY14),IF($J14="Rolling12",($AH14*BZ14)*(1+CY14),IF($AA14="PctBud",($AI14*BN14)*(1+CY14),IF($J14="CapBud",MIN(MAX($AU14-SUM($M14:P14),0),BN14)*(1+CY14),IF($AA14="Variable",($AC14*Q$25)*(1+CY14),IF($J14="Trend",CL14*(1+CY14),IF($AA14="Hours",($AC14*Q$26)*(1+CY14),($AO14/$AO$26*Q$26)*(1+CY14)))))))))))</f>
        <v>0</v>
      </c>
      <c r="R14" s="419">
        <f>IF(OR(R$21&lt;=$J$20,$A14=""),BC14,IF($J14="NoFcst",0,IF($AA14="Fixed",$AC14*(1+CZ14),IF($J14="RemBud",BO14*(1+CZ14),IF($J14="Rolling12",($AH14*CA14)*(1+CZ14),IF($AA14="PctBud",($AI14*BO14)*(1+CZ14),IF($J14="CapBud",MIN(MAX($AU14-SUM($M14:Q14),0),BO14)*(1+CZ14),IF($AA14="Variable",($AC14*R$25)*(1+CZ14),IF($J14="Trend",CM14*(1+CZ14),IF($AA14="Hours",($AC14*R$26)*(1+CZ14),($AO14/$AO$26*R$26)*(1+CZ14)))))))))))</f>
        <v>0</v>
      </c>
      <c r="S14" s="419">
        <f>IF(OR(S$21&lt;=$J$20,$A14=""),BD14,IF($J14="NoFcst",0,IF($AA14="Fixed",$AC14*(1+DA14),IF($J14="RemBud",BP14*(1+DA14),IF($J14="Rolling12",($AH14*CB14)*(1+DA14),IF($AA14="PctBud",($AI14*BP14)*(1+DA14),IF($J14="CapBud",MIN(MAX($AU14-SUM($M14:R14),0),BP14)*(1+DA14),IF($AA14="Variable",($AC14*S$25)*(1+DA14),IF($J14="Trend",CN14*(1+DA14),IF($AA14="Hours",($AC14*S$26)*(1+DA14),($AO14/$AO$26*S$26)*(1+DA14)))))))))))</f>
        <v>0</v>
      </c>
      <c r="T14" s="419">
        <f>IF(OR(T$21&lt;=$J$20,$A14=""),BE14,IF($J14="NoFcst",0,IF($AA14="Fixed",$AC14*(1+DB14),IF($J14="RemBud",BQ14*(1+DB14),IF($J14="Rolling12",($AH14*CC14)*(1+DB14),IF($AA14="PctBud",($AI14*BQ14)*(1+DB14),IF($J14="CapBud",MIN(MAX($AU14-SUM($M14:S14),0),BQ14)*(1+DB14),IF($AA14="Variable",($AC14*T$25)*(1+DB14),IF($J14="Trend",CO14*(1+DB14),IF($AA14="Hours",($AC14*T$26)*(1+DB14),($AO14/$AO$26*T$26)*(1+DB14)))))))))))</f>
        <v>0</v>
      </c>
      <c r="U14" s="419">
        <f>IF(OR(U$21&lt;=$J$20,$A14=""),BF14,IF($J14="NoFcst",0,IF($AA14="Fixed",$AC14*(1+DC14),IF($J14="RemBud",BR14*(1+DC14),IF($J14="Rolling12",($AH14*CD14)*(1+DC14),IF($AA14="PctBud",($AI14*BR14)*(1+DC14),IF($J14="CapBud",MIN(MAX($AU14-SUM($M14:T14),0),BR14)*(1+DC14),IF($AA14="Variable",($AC14*U$25)*(1+DC14),IF($J14="Trend",CP14*(1+DC14),IF($AA14="Hours",($AC14*U$26)*(1+DC14),($AO14/$AO$26*U$26)*(1+DC14)))))))))))</f>
        <v>0</v>
      </c>
      <c r="V14" s="419">
        <f>IF(OR(V$21&lt;=$J$20,$A14=""),BG14,IF($J14="NoFcst",0,IF($AA14="Fixed",$AC14*(1+DD14),IF($J14="RemBud",BS14*(1+DD14),IF($J14="Rolling12",($AH14*CE14)*(1+DD14),IF($AA14="PctBud",($AI14*BS14)*(1+DD14),IF($J14="CapBud",MIN(MAX($AU14-SUM($M14:U14),0),BS14)*(1+DD14),IF($AA14="Variable",($AC14*V$25)*(1+DD14),IF($J14="Trend",CQ14*(1+DD14),IF($AA14="Hours",($AC14*V$26)*(1+DD14),($AO14/$AO$26*V$26)*(1+DD14)))))))))))</f>
        <v>0</v>
      </c>
      <c r="W14" s="419">
        <f>IF(OR(W$21&lt;=$J$20,$A14=""),BH14,IF($J14="NoFcst",0,IF($AA14="Fixed",$AC14*(1+DE14),IF($J14="RemBud",BT14*(1+DE14),IF($J14="Rolling12",($AH14*CF14)*(1+DE14),IF($AA14="PctBud",($AI14*BT14)*(1+DE14),IF($J14="CapBud",MIN(MAX($AU14-SUM($M14:V14),0),BT14)*(1+DE14),IF($AA14="Variable",($AC14*W$25)*(1+DE14),IF($J14="Trend",CR14*(1+DE14),IF($AA14="Hours",($AC14*W$26)*(1+DE14),($AO14/$AO$26*W$26)*(1+DE14)))))))))))</f>
        <v>0</v>
      </c>
      <c r="X14" s="419">
        <f>IF(OR(X$21&lt;=$J$20,$A14=""),BI14,IF($J14="NoFcst",0,IF($AA14="Fixed",$AC14*(1+DF14),IF($J14="RemBud",BU14*(1+DF14),IF($J14="Rolling12",($AH14*CG14)*(1+DF14),IF($AA14="PctBud",($AI14*BU14)*(1+DF14),IF($J14="CapBud",MIN(MAX($AU14-SUM($M14:W14),0),BU14)*(1+DF14),IF($AA14="Variable",($AC14*X$25)*(1+DF14),IF($J14="Trend",CS14*(1+DF14),IF($AA14="Hours",($AC14*X$26)*(1+DF14),($AO14/$AO$26*X$26)*(1+DF14)))))))))))</f>
        <v>0</v>
      </c>
      <c r="Y14" s="3" t="str">
        <f>IF($A14="","",SUM(M14:X14))</f>
        <v/>
      </c>
      <c r="Z14" s="6">
        <f>1</f>
        <v>1</v>
      </c>
      <c r="AA14" s="393">
        <f>IF(LEFT(RIGHT($J14,4),1)&lt;&gt;"_",J14,LEFT($J14,LEN($J14)-4))</f>
        <v>0</v>
      </c>
      <c r="AB14" s="393" t="str">
        <f>IF(LEFT(RIGHT(J14,4),1)&lt;&gt;"_","YTD",RIGHT(J14,3))</f>
        <v>YTD</v>
      </c>
      <c r="AC14" s="374" t="str">
        <f>IF($AB14=$AE$47,$AE14,IF($AB14=$AF$47,$AF14,IF($AB14=$AG$47,$AG14,$AD14)))</f>
        <v/>
      </c>
      <c r="AD14" s="375" t="str">
        <f>IF($A14="","",IF($AA14="Hours",AO14/AO$26,IF($AA14="Fixed",AO14/$J$20,IF(AO$25=0,0,AO14/AO$25))))</f>
        <v/>
      </c>
      <c r="AE14" s="375" t="str">
        <f>IF($A14="","",IF($AA14="Hours",AP14/AP$26,IF($AA14="Fixed",AP14,IF(AP$25=0,0,AP14/AP$25))))</f>
        <v/>
      </c>
      <c r="AF14" s="375" t="str">
        <f>IF($A14="","",IF($AA14="Hours",AQ14/AQ$26,IF($AA14="Fixed",AQ14/3,IF(AQ$25=0,0,AQ14/AQ$25))))</f>
        <v/>
      </c>
      <c r="AG14" s="375" t="str">
        <f>IF($A14="","",IF($AA14="Hours",IF(AU$26=0,0,AU14/AU$26),IF($AA14="Fixed",AU14/12,IF(AU$25=0,0,AU14/AU$25))))</f>
        <v/>
      </c>
      <c r="AH14" s="61" t="str">
        <f>IF($A14="","",IF(AN14=0,0,AO14/AN14))</f>
        <v/>
      </c>
      <c r="AI14" s="61" t="str">
        <f>IF($A14="","",IF(AV14=0,0,AO14/AV14))</f>
        <v/>
      </c>
      <c r="AJ14" s="61" t="str">
        <f>IF($A14="","",IF(AW14=0,0,AP14/AW14))</f>
        <v/>
      </c>
      <c r="AK14" s="103"/>
      <c r="AL14" s="103"/>
      <c r="AM14" s="103"/>
      <c r="AN14" s="364">
        <v>0</v>
      </c>
      <c r="AO14" s="364">
        <v>0</v>
      </c>
      <c r="AP14" s="364">
        <v>0</v>
      </c>
      <c r="AQ14" s="352">
        <f>SUM(AR14:AT14)</f>
        <v>0</v>
      </c>
      <c r="AR14" s="352">
        <v>0</v>
      </c>
      <c r="AS14" s="352">
        <v>0</v>
      </c>
      <c r="AT14" s="352">
        <v>0</v>
      </c>
      <c r="AU14" s="364">
        <v>0</v>
      </c>
      <c r="AV14" s="364">
        <v>0</v>
      </c>
      <c r="AW14" s="364">
        <v>0</v>
      </c>
      <c r="AX14" s="280">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f>AX14</f>
        <v>0</v>
      </c>
      <c r="CI14" s="3" cm="1">
        <f t="array" ref="CI14">IF(OR(CI$21&lt;=$J$20,$A14=""),AY14,TREND(BW14:CH14,BW$26:CH$26,CI$26))</f>
        <v>0</v>
      </c>
      <c r="CJ14" s="3" cm="1">
        <f t="array" ref="CJ14">IF(OR(CJ$21&lt;=$J$20,$A14=""),AZ14,TREND(BX14:CI14,BX$26:CI$26,CJ$26))</f>
        <v>0</v>
      </c>
      <c r="CK14" s="3" cm="1">
        <f t="array" ref="CK14">IF(OR(CK$21&lt;=$J$20,$A14=""),BA14,TREND(BY14:CJ14,BY$26:CJ$26,CK$26))</f>
        <v>0</v>
      </c>
      <c r="CL14" s="3" cm="1">
        <f t="array" ref="CL14">IF(OR(CL$21&lt;=$J$20,$A14=""),BB14,TREND(BZ14:CK14,BZ$26:CK$26,CL$26))</f>
        <v>0</v>
      </c>
      <c r="CM14" s="3" cm="1">
        <f t="array" ref="CM14">IF(OR(CM$21&lt;=$J$20,$A14=""),BC14,TREND(CA14:CL14,CA$26:CL$26,CM$26))</f>
        <v>0</v>
      </c>
      <c r="CN14" s="3" cm="1">
        <f t="array" ref="CN14">IF(OR(CN$21&lt;=$J$20,$A14=""),BD14,TREND(CB14:CM14,CB$26:CM$26,CN$26))</f>
        <v>0</v>
      </c>
      <c r="CO14" s="3" cm="1">
        <f t="array" ref="CO14">IF(OR(CO$21&lt;=$J$20,$A14=""),BE14,TREND(CC14:CN14,CC$26:CN$26,CO$26))</f>
        <v>0</v>
      </c>
      <c r="CP14" s="3" cm="1">
        <f t="array" ref="CP14">IF(OR(CP$21&lt;=$J$20,$A14=""),BF14,TREND(CD14:CO14,CD$26:CO$26,CP$26))</f>
        <v>0</v>
      </c>
      <c r="CQ14" s="3" cm="1">
        <f t="array" ref="CQ14">IF(OR(CQ$21&lt;=$J$20,$A14=""),BG14,TREND(CE14:CP14,CE$26:CP$26,CQ$26))</f>
        <v>0</v>
      </c>
      <c r="CR14" s="3" cm="1">
        <f t="array" ref="CR14">IF(OR(CR$21&lt;=$J$20,$A14=""),BH14,TREND(CF14:CQ14,CF$26:CQ$26,CR$26))</f>
        <v>0</v>
      </c>
      <c r="CS14" s="3" cm="1">
        <f t="array" ref="CS14">IF(OR(CS$21&lt;=$J$20,$A14=""),BI14,TREND(CG14:CR14,CG$26:CR$26,CS$26))</f>
        <v>0</v>
      </c>
      <c r="CT14" s="60" t="str">
        <f>$CU$22&amp;"_"&amp;L14</f>
        <v>0_</v>
      </c>
      <c r="CU14" s="71" t="b" cm="1">
        <f t="array" aca="1" ref="CU14" ca="1">INDIRECT("CYFDRIVER!"&amp;CU$44&amp;$DG14)</f>
        <v>1</v>
      </c>
      <c r="CV14" s="71" t="b" cm="1">
        <f t="array" aca="1" ref="CV14" ca="1">INDIRECT("CYFDRIVER!"&amp;CV$44&amp;$DG14)</f>
        <v>1</v>
      </c>
      <c r="CW14" s="71" t="b" cm="1">
        <f t="array" aca="1" ref="CW14" ca="1">INDIRECT("CYFDRIVER!"&amp;CW$44&amp;$DG14)</f>
        <v>1</v>
      </c>
      <c r="CX14" s="71" t="b" cm="1">
        <f t="array" aca="1" ref="CX14" ca="1">INDIRECT("CYFDRIVER!"&amp;CX$44&amp;$DG14)</f>
        <v>1</v>
      </c>
      <c r="CY14" s="71" t="b" cm="1">
        <f t="array" aca="1" ref="CY14" ca="1">INDIRECT("CYFDRIVER!"&amp;CY$44&amp;$DG14)</f>
        <v>1</v>
      </c>
      <c r="CZ14" s="71" t="b" cm="1">
        <f t="array" aca="1" ref="CZ14" ca="1">INDIRECT("CYFDRIVER!"&amp;CZ$44&amp;$DG14)</f>
        <v>1</v>
      </c>
      <c r="DA14" s="71" t="b" cm="1">
        <f t="array" aca="1" ref="DA14" ca="1">INDIRECT("CYFDRIVER!"&amp;DA$44&amp;$DG14)</f>
        <v>1</v>
      </c>
      <c r="DB14" s="71" t="b" cm="1">
        <f t="array" aca="1" ref="DB14" ca="1">INDIRECT("CYFDRIVER!"&amp;DB$44&amp;$DG14)</f>
        <v>1</v>
      </c>
      <c r="DC14" s="71" t="b" cm="1">
        <f t="array" aca="1" ref="DC14" ca="1">INDIRECT("CYFDRIVER!"&amp;DC$44&amp;$DG14)</f>
        <v>0</v>
      </c>
      <c r="DD14" s="71" t="b" cm="1">
        <f t="array" aca="1" ref="DD14" ca="1">INDIRECT("CYFDRIVER!"&amp;DD$44&amp;$DG14)</f>
        <v>0</v>
      </c>
      <c r="DE14" s="71" t="b" cm="1">
        <f t="array" aca="1" ref="DE14" ca="1">INDIRECT("CYFDRIVER!"&amp;DE$44&amp;$DG14)</f>
        <v>0</v>
      </c>
      <c r="DF14" s="71" t="b" cm="1">
        <f t="array" aca="1" ref="DF14" ca="1">INDIRECT("CYFDRIVER!"&amp;DF$44&amp;$DG14)</f>
        <v>0</v>
      </c>
      <c r="DG14" s="406">
        <f>IF(ISNA(MATCH(CT14,CYFDriver!A:A,0)),4,MATCH(CT14,CYFDriver!A:A,0))</f>
        <v>4</v>
      </c>
    </row>
    <row r="15" spans="1:111" ht="16.8">
      <c r="C15" s="13"/>
      <c r="E15" s="5"/>
      <c r="M15" s="3"/>
      <c r="N15" s="399"/>
      <c r="O15" s="3"/>
      <c r="P15" s="3"/>
      <c r="Q15" s="3"/>
      <c r="R15" s="3"/>
      <c r="S15" s="3"/>
      <c r="T15" s="3"/>
      <c r="U15" s="3"/>
      <c r="V15" s="3"/>
      <c r="W15" s="3"/>
      <c r="X15" s="3"/>
      <c r="Y15" s="3"/>
      <c r="Z15" s="430"/>
      <c r="AA15" s="29"/>
      <c r="AB15" s="29"/>
      <c r="AC15" s="380"/>
      <c r="AD15" s="418"/>
      <c r="AE15" s="381"/>
      <c r="AF15" s="381"/>
      <c r="AG15" s="381"/>
      <c r="AH15" s="29"/>
      <c r="AI15" s="29"/>
      <c r="AJ15" s="29"/>
      <c r="AK15" s="103"/>
      <c r="AL15" s="103"/>
      <c r="AM15" s="103"/>
      <c r="AQ15" s="353"/>
      <c r="AX15" s="285"/>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row>
    <row r="16" spans="1:111" ht="16.8">
      <c r="C16" s="13"/>
      <c r="E16" s="5"/>
      <c r="M16" s="3"/>
      <c r="N16" s="399"/>
      <c r="O16" s="3"/>
      <c r="P16" s="3"/>
      <c r="Q16" s="3"/>
      <c r="R16" s="3"/>
      <c r="S16" s="3"/>
      <c r="T16" s="3"/>
      <c r="U16" s="3"/>
      <c r="V16" s="3"/>
      <c r="W16" s="3"/>
      <c r="X16" s="3"/>
      <c r="Y16" s="3"/>
      <c r="Z16" s="430"/>
      <c r="AA16" s="29"/>
      <c r="AB16" s="29"/>
      <c r="AC16" s="335"/>
      <c r="AD16" s="29"/>
      <c r="AE16" s="29"/>
      <c r="AF16" s="29"/>
      <c r="AG16" s="29"/>
      <c r="AH16" s="29"/>
      <c r="AI16" s="29"/>
      <c r="AJ16" s="29"/>
      <c r="AK16" s="103"/>
      <c r="AL16" s="103"/>
      <c r="AM16" s="103"/>
      <c r="AQ16" s="353"/>
      <c r="AX16" s="285"/>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row>
    <row r="17" spans="1:114" ht="16.8">
      <c r="C17" s="13" t="s">
        <v>32</v>
      </c>
      <c r="D17" s="13"/>
      <c r="E17" s="13"/>
      <c r="F17" s="13"/>
      <c r="G17" s="13"/>
      <c r="H17" s="13"/>
      <c r="I17" s="13"/>
      <c r="J17" s="13"/>
      <c r="K17" s="13"/>
      <c r="L17" s="13"/>
      <c r="M17" s="13"/>
      <c r="N17" s="13"/>
      <c r="O17" s="13"/>
      <c r="P17" s="13"/>
      <c r="Q17" s="13"/>
      <c r="R17" s="13"/>
      <c r="S17" s="13"/>
      <c r="T17" s="13"/>
      <c r="U17" s="13"/>
      <c r="V17" s="13"/>
      <c r="W17" s="13"/>
      <c r="X17" s="13"/>
      <c r="Y17" s="13"/>
      <c r="Z17" s="431"/>
      <c r="AA17" s="13"/>
      <c r="AB17" s="13"/>
      <c r="AC17" s="13"/>
      <c r="AD17" s="13"/>
      <c r="AE17" s="13"/>
      <c r="AF17" s="13"/>
      <c r="AG17" s="13"/>
      <c r="AH17" s="13"/>
      <c r="AI17" s="13"/>
      <c r="AJ17" s="13"/>
      <c r="AK17" s="13"/>
      <c r="AL17" s="13"/>
      <c r="AM17" s="13"/>
      <c r="AN17" s="13" t="s">
        <v>607</v>
      </c>
      <c r="AO17" s="13" t="s">
        <v>607</v>
      </c>
      <c r="AP17" s="13" t="s">
        <v>607</v>
      </c>
      <c r="AQ17" s="13" t="s">
        <v>607</v>
      </c>
      <c r="AR17" s="13" t="s">
        <v>607</v>
      </c>
      <c r="AS17" s="13" t="s">
        <v>607</v>
      </c>
      <c r="AT17" s="13" t="s">
        <v>607</v>
      </c>
      <c r="AU17" s="13" t="s">
        <v>607</v>
      </c>
      <c r="AV17" s="13" t="s">
        <v>607</v>
      </c>
      <c r="AW17" s="13" t="s">
        <v>607</v>
      </c>
      <c r="AX17" s="286" t="s">
        <v>607</v>
      </c>
      <c r="AY17" s="13" t="s">
        <v>607</v>
      </c>
      <c r="AZ17" s="13" t="s">
        <v>607</v>
      </c>
      <c r="BA17" s="13" t="s">
        <v>607</v>
      </c>
      <c r="BB17" s="13" t="s">
        <v>607</v>
      </c>
      <c r="BC17" s="13" t="s">
        <v>607</v>
      </c>
      <c r="BD17" s="13" t="s">
        <v>607</v>
      </c>
      <c r="BE17" s="13" t="s">
        <v>607</v>
      </c>
      <c r="BF17" s="13" t="s">
        <v>607</v>
      </c>
      <c r="BG17" s="13" t="s">
        <v>607</v>
      </c>
      <c r="BH17" s="13" t="s">
        <v>607</v>
      </c>
      <c r="BI17" s="13" t="s">
        <v>607</v>
      </c>
      <c r="BJ17" s="13" t="s">
        <v>607</v>
      </c>
      <c r="BK17" s="13" t="s">
        <v>607</v>
      </c>
      <c r="BL17" s="13" t="s">
        <v>607</v>
      </c>
      <c r="BM17" s="13" t="s">
        <v>607</v>
      </c>
      <c r="BN17" s="13" t="s">
        <v>607</v>
      </c>
      <c r="BO17" s="13" t="s">
        <v>607</v>
      </c>
      <c r="BP17" s="13" t="s">
        <v>607</v>
      </c>
      <c r="BQ17" s="13" t="s">
        <v>607</v>
      </c>
      <c r="BR17" s="13" t="s">
        <v>607</v>
      </c>
      <c r="BS17" s="13" t="s">
        <v>607</v>
      </c>
      <c r="BT17" s="13" t="s">
        <v>607</v>
      </c>
      <c r="BU17" s="13" t="s">
        <v>607</v>
      </c>
      <c r="BV17" s="13" t="s">
        <v>607</v>
      </c>
      <c r="BW17" s="13" t="s">
        <v>607</v>
      </c>
      <c r="BX17" s="13" t="s">
        <v>607</v>
      </c>
      <c r="BY17" s="13" t="s">
        <v>607</v>
      </c>
      <c r="BZ17" s="13" t="s">
        <v>607</v>
      </c>
      <c r="CA17" s="13" t="s">
        <v>607</v>
      </c>
      <c r="CB17" s="13" t="s">
        <v>607</v>
      </c>
      <c r="CC17" s="13" t="s">
        <v>607</v>
      </c>
      <c r="CD17" s="13" t="s">
        <v>607</v>
      </c>
      <c r="CE17" s="13" t="s">
        <v>607</v>
      </c>
      <c r="CF17" s="13" t="s">
        <v>607</v>
      </c>
      <c r="CG17" s="13" t="s">
        <v>607</v>
      </c>
      <c r="CH17" s="13" t="s">
        <v>607</v>
      </c>
      <c r="CI17" s="13" t="s">
        <v>607</v>
      </c>
      <c r="CJ17" s="13" t="s">
        <v>607</v>
      </c>
      <c r="CK17" s="13" t="s">
        <v>607</v>
      </c>
      <c r="CL17" s="13" t="s">
        <v>607</v>
      </c>
      <c r="CM17" s="13" t="s">
        <v>607</v>
      </c>
      <c r="CN17" s="13" t="s">
        <v>607</v>
      </c>
      <c r="CO17" s="13" t="s">
        <v>607</v>
      </c>
      <c r="CP17" s="13" t="s">
        <v>607</v>
      </c>
      <c r="CQ17" s="13" t="s">
        <v>607</v>
      </c>
      <c r="CR17" s="13" t="s">
        <v>607</v>
      </c>
      <c r="CS17" s="13" t="s">
        <v>607</v>
      </c>
      <c r="CT17" s="13" t="s">
        <v>607</v>
      </c>
      <c r="CU17" s="13" t="s">
        <v>607</v>
      </c>
      <c r="CV17" s="13" t="s">
        <v>607</v>
      </c>
      <c r="CW17" s="13" t="s">
        <v>607</v>
      </c>
      <c r="CX17" s="13" t="s">
        <v>607</v>
      </c>
      <c r="CY17" s="13" t="s">
        <v>607</v>
      </c>
      <c r="CZ17" s="13" t="s">
        <v>607</v>
      </c>
      <c r="DA17" s="13" t="s">
        <v>607</v>
      </c>
      <c r="DB17" s="13" t="s">
        <v>607</v>
      </c>
      <c r="DC17" s="13" t="s">
        <v>607</v>
      </c>
      <c r="DD17" s="13" t="s">
        <v>607</v>
      </c>
      <c r="DE17" s="13" t="s">
        <v>607</v>
      </c>
      <c r="DF17" s="13" t="s">
        <v>607</v>
      </c>
      <c r="DG17" s="13" t="s">
        <v>607</v>
      </c>
      <c r="DH17" s="13" t="s">
        <v>607</v>
      </c>
      <c r="DI17" s="13" t="s">
        <v>607</v>
      </c>
      <c r="DJ17" s="13" t="s">
        <v>607</v>
      </c>
    </row>
    <row r="18" spans="1:114" ht="16.8">
      <c r="C18" s="13"/>
      <c r="E18" s="5"/>
      <c r="I18" s="40" t="s">
        <v>527</v>
      </c>
      <c r="J18" s="5">
        <f>Variables!I16</f>
        <v>2020</v>
      </c>
      <c r="K18" s="60"/>
      <c r="M18" s="3">
        <v>1</v>
      </c>
      <c r="N18" s="3">
        <f t="shared" ref="N18:X18" si="21">+M18+1</f>
        <v>2</v>
      </c>
      <c r="O18" s="3">
        <f t="shared" si="21"/>
        <v>3</v>
      </c>
      <c r="P18" s="3">
        <f t="shared" si="21"/>
        <v>4</v>
      </c>
      <c r="Q18" s="3">
        <f t="shared" si="21"/>
        <v>5</v>
      </c>
      <c r="R18" s="3">
        <f t="shared" si="21"/>
        <v>6</v>
      </c>
      <c r="S18" s="3">
        <f t="shared" si="21"/>
        <v>7</v>
      </c>
      <c r="T18" s="3">
        <f t="shared" si="21"/>
        <v>8</v>
      </c>
      <c r="U18" s="3">
        <f t="shared" si="21"/>
        <v>9</v>
      </c>
      <c r="V18" s="3">
        <f t="shared" si="21"/>
        <v>10</v>
      </c>
      <c r="W18" s="3">
        <f t="shared" si="21"/>
        <v>11</v>
      </c>
      <c r="X18" s="3">
        <f t="shared" si="21"/>
        <v>12</v>
      </c>
      <c r="Y18" s="3"/>
      <c r="AQ18" s="353"/>
    </row>
    <row r="19" spans="1:114" ht="16.8">
      <c r="C19" s="13"/>
      <c r="E19" s="5"/>
      <c r="F19" s="21"/>
      <c r="G19" s="21"/>
      <c r="H19" s="21"/>
      <c r="I19" s="187" t="s">
        <v>707</v>
      </c>
      <c r="J19" s="331" t="str">
        <f>IF(Variables!$I$30,Variables!I34,IF(Variables!$O$74=0,"No Dept",Variables!$O$74))</f>
        <v>No Dept</v>
      </c>
      <c r="L19" s="21"/>
      <c r="M19" s="398" cm="1">
        <f t="array" ref="M19">_xll.GetData("CYFTE", "Code = "&amp;M18, "Period")</f>
        <v>176.65753424657501</v>
      </c>
      <c r="N19" s="398" cm="1">
        <f t="array" ref="N19">_xll.GetData("CYFTE", "Code = "&amp;N18, "Period")</f>
        <v>176.65753424657501</v>
      </c>
      <c r="O19" s="398" cm="1">
        <f t="array" ref="O19">_xll.GetData("CYFTE", "Code = "&amp;O18, "Period")</f>
        <v>170.95890410958901</v>
      </c>
      <c r="P19" s="398" cm="1">
        <f t="array" ref="P19">_xll.GetData("CYFTE", "Code = "&amp;P18, "Period")</f>
        <v>176.65753424657501</v>
      </c>
      <c r="Q19" s="398" cm="1">
        <f t="array" ref="Q19">_xll.GetData("CYFTE", "Code = "&amp;Q18, "Period")</f>
        <v>170.95890410958901</v>
      </c>
      <c r="R19" s="398" cm="1">
        <f t="array" ref="R19">_xll.GetData("CYFTE", "Code = "&amp;R18, "Period")</f>
        <v>176.65753424657501</v>
      </c>
      <c r="S19" s="398" cm="1">
        <f t="array" ref="S19">_xll.GetData("CYFTE", "Code = "&amp;S18, "Period")</f>
        <v>176.65753424657501</v>
      </c>
      <c r="T19" s="398" cm="1">
        <f t="array" ref="T19">_xll.GetData("CYFTE", "Code = "&amp;T18, "Period")</f>
        <v>167.561643835616</v>
      </c>
      <c r="U19" s="398" cm="1">
        <f t="array" ref="U19">_xll.GetData("CYFTE", "Code = "&amp;U18, "Period")</f>
        <v>176.65753424657501</v>
      </c>
      <c r="V19" s="398" cm="1">
        <f t="array" ref="V19">_xll.GetData("CYFTE", "Code = "&amp;V18, "Period")</f>
        <v>170.95890410958901</v>
      </c>
      <c r="W19" s="398" cm="1">
        <f t="array" ref="W19">_xll.GetData("CYFTE", "Code = "&amp;W18, "Period")</f>
        <v>176.65753424657501</v>
      </c>
      <c r="X19" s="398" cm="1">
        <f t="array" ref="X19">_xll.GetData("CYFTE", "Code = "&amp;X18, "Period")</f>
        <v>170.95890410958901</v>
      </c>
      <c r="Y19" s="398">
        <f>SUM(M19:X19)</f>
        <v>2087.9999999999973</v>
      </c>
      <c r="Z19" s="432"/>
      <c r="AA19" s="21"/>
      <c r="AB19" s="21"/>
      <c r="AC19" s="337"/>
      <c r="AD19" s="21"/>
      <c r="AE19" s="21"/>
      <c r="AF19" s="21"/>
      <c r="AG19" s="21"/>
      <c r="AH19" s="21"/>
      <c r="AI19" s="21"/>
      <c r="AJ19" s="21"/>
      <c r="AK19" s="21"/>
      <c r="AL19" s="21"/>
      <c r="AM19" s="21"/>
      <c r="AN19" s="365"/>
      <c r="AO19" s="365"/>
      <c r="AP19" s="365"/>
      <c r="AQ19" s="383"/>
      <c r="AR19" s="354"/>
      <c r="AS19" s="354"/>
      <c r="AT19" s="354"/>
      <c r="AU19" s="365"/>
      <c r="AV19" s="365"/>
      <c r="AW19" s="365"/>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row>
    <row r="20" spans="1:114" ht="16.8">
      <c r="C20" s="13"/>
      <c r="E20" s="5"/>
      <c r="I20" s="40" t="s">
        <v>423</v>
      </c>
      <c r="J20" s="180">
        <f>Variables!I15</f>
        <v>8</v>
      </c>
      <c r="K20" s="60"/>
      <c r="L20" s="9"/>
      <c r="M20" s="9" t="s">
        <v>229</v>
      </c>
      <c r="N20" s="9" t="s">
        <v>229</v>
      </c>
      <c r="O20" s="9" t="s">
        <v>229</v>
      </c>
      <c r="P20" s="9" t="s">
        <v>229</v>
      </c>
      <c r="Q20" s="9" t="s">
        <v>229</v>
      </c>
      <c r="R20" s="9" t="s">
        <v>229</v>
      </c>
      <c r="S20" s="9" t="s">
        <v>229</v>
      </c>
      <c r="T20" s="9" t="s">
        <v>229</v>
      </c>
      <c r="U20" s="9" t="s">
        <v>229</v>
      </c>
      <c r="V20" s="9" t="s">
        <v>229</v>
      </c>
      <c r="W20" s="9" t="s">
        <v>229</v>
      </c>
      <c r="X20" s="9" t="s">
        <v>229</v>
      </c>
      <c r="Y20" s="9"/>
      <c r="AN20" s="333" t="str">
        <f>AK23</f>
        <v>ACT2019</v>
      </c>
      <c r="AO20" s="333" t="str">
        <f>AH23</f>
        <v>ACT2020</v>
      </c>
      <c r="AP20" s="333" t="str">
        <f>AH23</f>
        <v>ACT2020</v>
      </c>
      <c r="AQ20" s="384"/>
      <c r="AR20" s="355" t="str">
        <f>$AH$23</f>
        <v>ACT2020</v>
      </c>
      <c r="AS20" s="355" t="str">
        <f>IF($J$20=1,$AK$23,$AH$23)</f>
        <v>ACT2020</v>
      </c>
      <c r="AT20" s="355" t="str">
        <f>IF(OR($J$20=1,$J$20=2),$AK$23,$AH$23)</f>
        <v>ACT2020</v>
      </c>
      <c r="AU20" s="333" t="str">
        <f>AI23</f>
        <v>BUD2020</v>
      </c>
      <c r="AV20" s="333" t="str">
        <f>AI23</f>
        <v>BUD2020</v>
      </c>
      <c r="AW20" s="333" t="str">
        <f>AI23</f>
        <v>BUD2020</v>
      </c>
      <c r="AX20" s="288" t="str">
        <f>$AO$20</f>
        <v>ACT2020</v>
      </c>
      <c r="AY20" s="9" t="str">
        <f t="shared" ref="AY20:BI20" si="22">AX20</f>
        <v>ACT2020</v>
      </c>
      <c r="AZ20" s="9" t="str">
        <f t="shared" si="22"/>
        <v>ACT2020</v>
      </c>
      <c r="BA20" s="9" t="str">
        <f t="shared" si="22"/>
        <v>ACT2020</v>
      </c>
      <c r="BB20" s="9" t="str">
        <f t="shared" si="22"/>
        <v>ACT2020</v>
      </c>
      <c r="BC20" s="9" t="str">
        <f t="shared" si="22"/>
        <v>ACT2020</v>
      </c>
      <c r="BD20" s="9" t="str">
        <f t="shared" si="22"/>
        <v>ACT2020</v>
      </c>
      <c r="BE20" s="9" t="str">
        <f t="shared" si="22"/>
        <v>ACT2020</v>
      </c>
      <c r="BF20" s="9" t="str">
        <f t="shared" si="22"/>
        <v>ACT2020</v>
      </c>
      <c r="BG20" s="9" t="str">
        <f t="shared" si="22"/>
        <v>ACT2020</v>
      </c>
      <c r="BH20" s="9" t="str">
        <f t="shared" si="22"/>
        <v>ACT2020</v>
      </c>
      <c r="BI20" s="9" t="str">
        <f t="shared" si="22"/>
        <v>ACT2020</v>
      </c>
      <c r="BJ20" s="9" t="str">
        <f>$AV$20</f>
        <v>BUD2020</v>
      </c>
      <c r="BK20" s="9" t="str">
        <f t="shared" ref="BK20:BU20" si="23">BJ20</f>
        <v>BUD2020</v>
      </c>
      <c r="BL20" s="9" t="str">
        <f t="shared" si="23"/>
        <v>BUD2020</v>
      </c>
      <c r="BM20" s="9" t="str">
        <f t="shared" si="23"/>
        <v>BUD2020</v>
      </c>
      <c r="BN20" s="9" t="str">
        <f t="shared" si="23"/>
        <v>BUD2020</v>
      </c>
      <c r="BO20" s="9" t="str">
        <f t="shared" si="23"/>
        <v>BUD2020</v>
      </c>
      <c r="BP20" s="9" t="str">
        <f t="shared" si="23"/>
        <v>BUD2020</v>
      </c>
      <c r="BQ20" s="9" t="str">
        <f t="shared" si="23"/>
        <v>BUD2020</v>
      </c>
      <c r="BR20" s="9" t="str">
        <f t="shared" si="23"/>
        <v>BUD2020</v>
      </c>
      <c r="BS20" s="9" t="str">
        <f t="shared" si="23"/>
        <v>BUD2020</v>
      </c>
      <c r="BT20" s="9" t="str">
        <f t="shared" si="23"/>
        <v>BUD2020</v>
      </c>
      <c r="BU20" s="9" t="str">
        <f t="shared" si="23"/>
        <v>BUD2020</v>
      </c>
      <c r="BV20" s="9" t="str">
        <f>$AK$23</f>
        <v>ACT2019</v>
      </c>
      <c r="BW20" s="9" t="str">
        <f t="shared" ref="BW20:CG20" si="24">BV20</f>
        <v>ACT2019</v>
      </c>
      <c r="BX20" s="9" t="str">
        <f t="shared" si="24"/>
        <v>ACT2019</v>
      </c>
      <c r="BY20" s="9" t="str">
        <f t="shared" si="24"/>
        <v>ACT2019</v>
      </c>
      <c r="BZ20" s="9" t="str">
        <f t="shared" si="24"/>
        <v>ACT2019</v>
      </c>
      <c r="CA20" s="9" t="str">
        <f t="shared" si="24"/>
        <v>ACT2019</v>
      </c>
      <c r="CB20" s="9" t="str">
        <f t="shared" si="24"/>
        <v>ACT2019</v>
      </c>
      <c r="CC20" s="9" t="str">
        <f t="shared" si="24"/>
        <v>ACT2019</v>
      </c>
      <c r="CD20" s="9" t="str">
        <f t="shared" si="24"/>
        <v>ACT2019</v>
      </c>
      <c r="CE20" s="9" t="str">
        <f t="shared" si="24"/>
        <v>ACT2019</v>
      </c>
      <c r="CF20" s="9" t="str">
        <f t="shared" si="24"/>
        <v>ACT2019</v>
      </c>
      <c r="CG20" s="9" t="str">
        <f t="shared" si="24"/>
        <v>ACT2019</v>
      </c>
      <c r="CH20" s="9"/>
    </row>
    <row r="21" spans="1:114" ht="16.8">
      <c r="C21" s="13"/>
      <c r="E21" s="5"/>
      <c r="I21" s="40" t="s">
        <v>348</v>
      </c>
      <c r="K21" s="60"/>
      <c r="M21" s="6">
        <v>1</v>
      </c>
      <c r="N21" s="6">
        <v>2</v>
      </c>
      <c r="O21" s="6">
        <v>3</v>
      </c>
      <c r="P21" s="6">
        <v>4</v>
      </c>
      <c r="Q21" s="6">
        <v>5</v>
      </c>
      <c r="R21" s="6">
        <v>6</v>
      </c>
      <c r="S21" s="6">
        <v>7</v>
      </c>
      <c r="T21" s="6">
        <v>8</v>
      </c>
      <c r="U21" s="6">
        <v>9</v>
      </c>
      <c r="V21" s="6">
        <v>10</v>
      </c>
      <c r="W21" s="6">
        <v>11</v>
      </c>
      <c r="X21" s="6">
        <v>12</v>
      </c>
      <c r="Y21" s="6"/>
      <c r="AA21" s="5"/>
      <c r="AB21" s="5"/>
      <c r="AC21" s="338"/>
      <c r="AD21" s="400"/>
      <c r="AE21" s="400"/>
      <c r="AF21" s="400"/>
      <c r="AG21" s="400"/>
      <c r="AH21" s="332" t="s">
        <v>229</v>
      </c>
      <c r="AI21" s="332" t="s">
        <v>385</v>
      </c>
      <c r="AJ21" s="332"/>
      <c r="AK21" s="332" t="s">
        <v>551</v>
      </c>
      <c r="AL21" s="332"/>
      <c r="AM21" s="332"/>
      <c r="AN21" s="334" t="s">
        <v>233</v>
      </c>
      <c r="AO21" s="334" t="s">
        <v>233</v>
      </c>
      <c r="AP21" s="334" t="str">
        <f>"P"&amp;$J$20</f>
        <v>P8</v>
      </c>
      <c r="AQ21" s="385" t="str">
        <f t="shared" ref="AQ21:AR21" si="25">"P"&amp;$J$20</f>
        <v>P8</v>
      </c>
      <c r="AR21" s="356" t="str">
        <f t="shared" si="25"/>
        <v>P8</v>
      </c>
      <c r="AS21" s="356" t="str">
        <f>"P"&amp;IF(J$20=1,12,$J$20-1)</f>
        <v>P7</v>
      </c>
      <c r="AT21" s="356" t="str">
        <f>"P"&amp;IF(J$20=1,11,IF(J$20=2,12,$J$20-2))</f>
        <v>P6</v>
      </c>
      <c r="AU21" s="334" t="s">
        <v>105</v>
      </c>
      <c r="AV21" s="334" t="s">
        <v>233</v>
      </c>
      <c r="AW21" s="334" t="str">
        <f>"P"&amp;$J$20</f>
        <v>P8</v>
      </c>
      <c r="AX21" s="289">
        <v>1</v>
      </c>
      <c r="AY21" s="6">
        <v>2</v>
      </c>
      <c r="AZ21" s="6">
        <v>3</v>
      </c>
      <c r="BA21" s="6">
        <v>4</v>
      </c>
      <c r="BB21" s="6">
        <v>5</v>
      </c>
      <c r="BC21" s="6">
        <v>6</v>
      </c>
      <c r="BD21" s="6">
        <v>7</v>
      </c>
      <c r="BE21" s="6">
        <v>8</v>
      </c>
      <c r="BF21" s="6">
        <v>9</v>
      </c>
      <c r="BG21" s="6">
        <v>10</v>
      </c>
      <c r="BH21" s="6">
        <v>11</v>
      </c>
      <c r="BI21" s="6">
        <v>12</v>
      </c>
      <c r="BJ21" s="6">
        <v>1</v>
      </c>
      <c r="BK21" s="6">
        <v>2</v>
      </c>
      <c r="BL21" s="6">
        <v>3</v>
      </c>
      <c r="BM21" s="6">
        <v>4</v>
      </c>
      <c r="BN21" s="6">
        <v>5</v>
      </c>
      <c r="BO21" s="6">
        <v>6</v>
      </c>
      <c r="BP21" s="6">
        <v>7</v>
      </c>
      <c r="BQ21" s="6">
        <v>8</v>
      </c>
      <c r="BR21" s="6">
        <v>9</v>
      </c>
      <c r="BS21" s="6">
        <v>10</v>
      </c>
      <c r="BT21" s="6">
        <v>11</v>
      </c>
      <c r="BU21" s="6">
        <v>12</v>
      </c>
      <c r="BV21" s="6">
        <v>1</v>
      </c>
      <c r="BW21" s="6">
        <v>2</v>
      </c>
      <c r="BX21" s="6">
        <v>3</v>
      </c>
      <c r="BY21" s="6">
        <v>4</v>
      </c>
      <c r="BZ21" s="6">
        <v>5</v>
      </c>
      <c r="CA21" s="6">
        <v>6</v>
      </c>
      <c r="CB21" s="6">
        <v>7</v>
      </c>
      <c r="CC21" s="6">
        <v>8</v>
      </c>
      <c r="CD21" s="6">
        <v>9</v>
      </c>
      <c r="CE21" s="6">
        <v>10</v>
      </c>
      <c r="CF21" s="6">
        <v>11</v>
      </c>
      <c r="CG21" s="6">
        <v>12</v>
      </c>
      <c r="CH21" s="6">
        <v>1</v>
      </c>
      <c r="CI21" s="6">
        <v>2</v>
      </c>
      <c r="CJ21" s="6">
        <v>3</v>
      </c>
      <c r="CK21" s="6">
        <v>4</v>
      </c>
      <c r="CL21" s="6">
        <v>5</v>
      </c>
      <c r="CM21" s="6">
        <v>6</v>
      </c>
      <c r="CN21" s="6">
        <v>7</v>
      </c>
      <c r="CO21" s="6">
        <v>8</v>
      </c>
      <c r="CP21" s="6">
        <v>9</v>
      </c>
      <c r="CQ21" s="6">
        <v>10</v>
      </c>
      <c r="CR21" s="6">
        <v>11</v>
      </c>
      <c r="CS21" s="6">
        <v>12</v>
      </c>
      <c r="CT21" s="6">
        <v>13</v>
      </c>
      <c r="CU21" s="6">
        <v>1</v>
      </c>
      <c r="CV21" s="6">
        <v>2</v>
      </c>
      <c r="CW21" s="6">
        <v>3</v>
      </c>
      <c r="CX21" s="6">
        <v>4</v>
      </c>
      <c r="CY21" s="6">
        <v>5</v>
      </c>
      <c r="CZ21" s="6">
        <v>6</v>
      </c>
      <c r="DA21" s="6">
        <v>7</v>
      </c>
      <c r="DB21" s="6">
        <v>8</v>
      </c>
      <c r="DC21" s="6">
        <v>9</v>
      </c>
      <c r="DD21" s="6">
        <v>10</v>
      </c>
      <c r="DE21" s="6">
        <v>11</v>
      </c>
      <c r="DF21" s="6">
        <v>12</v>
      </c>
      <c r="DG21" s="28"/>
    </row>
    <row r="22" spans="1:114" ht="16.8">
      <c r="C22" s="13"/>
      <c r="E22" s="142" t="s">
        <v>481</v>
      </c>
      <c r="G22" s="142">
        <v>1</v>
      </c>
      <c r="I22" s="40" t="s">
        <v>134</v>
      </c>
      <c r="J22" s="9" t="s">
        <v>53</v>
      </c>
      <c r="K22" s="60"/>
      <c r="L22" s="6">
        <f>IF(ISNA(MATCH("KeyIP",K$48:K54,0)),11,MATCH("KeyIP",K$48:K54,0)+20)</f>
        <v>11</v>
      </c>
      <c r="M22" s="294">
        <f t="shared" ref="M22:X24" si="26">IF($L22=11,M$25,SUMIF($K$48:$K$122,$J22,M$48:M$122))</f>
        <v>31</v>
      </c>
      <c r="N22" s="294">
        <f t="shared" si="26"/>
        <v>31</v>
      </c>
      <c r="O22" s="294">
        <f t="shared" si="26"/>
        <v>30</v>
      </c>
      <c r="P22" s="294">
        <f t="shared" si="26"/>
        <v>31</v>
      </c>
      <c r="Q22" s="294">
        <f t="shared" si="26"/>
        <v>30</v>
      </c>
      <c r="R22" s="294">
        <f t="shared" si="26"/>
        <v>31</v>
      </c>
      <c r="S22" s="295">
        <f t="shared" si="26"/>
        <v>31</v>
      </c>
      <c r="T22" s="295">
        <f t="shared" si="26"/>
        <v>29</v>
      </c>
      <c r="U22" s="295">
        <f t="shared" si="26"/>
        <v>31</v>
      </c>
      <c r="V22" s="295">
        <f t="shared" si="26"/>
        <v>30</v>
      </c>
      <c r="W22" s="295">
        <f t="shared" si="26"/>
        <v>31</v>
      </c>
      <c r="X22" s="295">
        <f t="shared" si="26"/>
        <v>30</v>
      </c>
      <c r="Y22" s="295">
        <f t="shared" ref="Y22:Y28" si="27">SUM(M22:X22)</f>
        <v>366</v>
      </c>
      <c r="AA22" s="5"/>
      <c r="AB22" s="5"/>
      <c r="AC22" s="338"/>
      <c r="AD22" s="401">
        <f>AO22</f>
        <v>244</v>
      </c>
      <c r="AE22" s="401">
        <f>AP22</f>
        <v>29</v>
      </c>
      <c r="AF22" s="401">
        <f>AQ22</f>
        <v>91</v>
      </c>
      <c r="AG22" s="401">
        <f>AU22</f>
        <v>366</v>
      </c>
      <c r="AH22" s="332">
        <f>$J$18</f>
        <v>2020</v>
      </c>
      <c r="AI22" s="332">
        <f>AH22</f>
        <v>2020</v>
      </c>
      <c r="AJ22" s="332"/>
      <c r="AK22" s="332">
        <f>AH22-1</f>
        <v>2019</v>
      </c>
      <c r="AL22" s="332"/>
      <c r="AM22" s="332"/>
      <c r="AN22" s="366">
        <f t="shared" ref="AN22:AP24" si="28">IF($L22=11,AN$25,SUMIF($K$48:$K$122,$J22,AN$48:AN$122))</f>
        <v>243</v>
      </c>
      <c r="AO22" s="366">
        <f t="shared" si="28"/>
        <v>244</v>
      </c>
      <c r="AP22" s="366">
        <f t="shared" si="28"/>
        <v>29</v>
      </c>
      <c r="AQ22" s="386">
        <f t="shared" ref="AQ22:AQ28" si="29">SUM(AR22:AT22)</f>
        <v>91</v>
      </c>
      <c r="AR22" s="357">
        <f t="shared" ref="AR22:AW24" si="30">IF($L22=11,AR$25,SUMIF($K$48:$K$122,$J22,AR$48:AR$122))</f>
        <v>29</v>
      </c>
      <c r="AS22" s="357">
        <f t="shared" si="30"/>
        <v>31</v>
      </c>
      <c r="AT22" s="357">
        <f t="shared" si="30"/>
        <v>31</v>
      </c>
      <c r="AU22" s="366">
        <f t="shared" si="30"/>
        <v>366</v>
      </c>
      <c r="AV22" s="366">
        <f t="shared" si="30"/>
        <v>244</v>
      </c>
      <c r="AW22" s="366">
        <f t="shared" si="30"/>
        <v>29</v>
      </c>
      <c r="BJ22" s="294">
        <f t="shared" ref="BJ22:BS24" si="31">IF($L22=11,BJ$25,SUMIF($K$48:$K$122,$J22,BJ$48:BJ$122))</f>
        <v>31</v>
      </c>
      <c r="BK22" s="294">
        <f t="shared" si="31"/>
        <v>31</v>
      </c>
      <c r="BL22" s="294">
        <f t="shared" si="31"/>
        <v>30</v>
      </c>
      <c r="BM22" s="294">
        <f t="shared" si="31"/>
        <v>31</v>
      </c>
      <c r="BN22" s="294">
        <f t="shared" si="31"/>
        <v>30</v>
      </c>
      <c r="BO22" s="294">
        <f t="shared" si="31"/>
        <v>31</v>
      </c>
      <c r="BP22" s="294">
        <f t="shared" si="31"/>
        <v>31</v>
      </c>
      <c r="BQ22" s="294">
        <f t="shared" si="31"/>
        <v>29</v>
      </c>
      <c r="BR22" s="294">
        <f t="shared" si="31"/>
        <v>31</v>
      </c>
      <c r="BS22" s="294">
        <f t="shared" si="31"/>
        <v>30</v>
      </c>
      <c r="BT22" s="294">
        <f t="shared" ref="BT22:CG24" si="32">IF($L22=11,BT$25,SUMIF($K$48:$K$122,$J22,BT$48:BT$122))</f>
        <v>31</v>
      </c>
      <c r="BU22" s="294">
        <f t="shared" si="32"/>
        <v>30</v>
      </c>
      <c r="BV22" s="294">
        <f t="shared" si="32"/>
        <v>31</v>
      </c>
      <c r="BW22" s="294">
        <f t="shared" si="32"/>
        <v>31</v>
      </c>
      <c r="BX22" s="294">
        <f t="shared" si="32"/>
        <v>30</v>
      </c>
      <c r="BY22" s="294">
        <f t="shared" si="32"/>
        <v>31</v>
      </c>
      <c r="BZ22" s="294">
        <f t="shared" si="32"/>
        <v>30</v>
      </c>
      <c r="CA22" s="294">
        <f t="shared" si="32"/>
        <v>31</v>
      </c>
      <c r="CB22" s="294">
        <f t="shared" si="32"/>
        <v>31</v>
      </c>
      <c r="CC22" s="294">
        <f t="shared" si="32"/>
        <v>28</v>
      </c>
      <c r="CD22" s="294">
        <f t="shared" si="32"/>
        <v>31</v>
      </c>
      <c r="CE22" s="294">
        <f t="shared" si="32"/>
        <v>30</v>
      </c>
      <c r="CF22" s="294">
        <f t="shared" si="32"/>
        <v>31</v>
      </c>
      <c r="CG22" s="294">
        <f t="shared" si="32"/>
        <v>30</v>
      </c>
      <c r="CH22" s="6"/>
      <c r="CT22" s="9" t="s">
        <v>269</v>
      </c>
      <c r="CU22" s="6" cm="1">
        <f t="array" ref="CU22">IF(Variables!$I$30,_xll.GetData("Dept.Entity","Dept.Dept="&amp;$J$19),Variables!$O$73)</f>
        <v>0</v>
      </c>
      <c r="CV22" s="28"/>
      <c r="CW22" s="28"/>
      <c r="CX22" s="28"/>
      <c r="CY22" s="28"/>
      <c r="CZ22" s="28"/>
      <c r="DA22" s="28"/>
      <c r="DB22" s="28"/>
      <c r="DC22" s="28"/>
      <c r="DD22" s="28"/>
      <c r="DE22" s="28"/>
      <c r="DF22" s="28"/>
      <c r="DG22" s="28"/>
    </row>
    <row r="23" spans="1:114" ht="16.8">
      <c r="C23" s="13"/>
      <c r="E23" s="142" t="s">
        <v>564</v>
      </c>
      <c r="G23" s="142">
        <v>2</v>
      </c>
      <c r="I23" s="40" t="s">
        <v>454</v>
      </c>
      <c r="J23" s="9" t="s">
        <v>419</v>
      </c>
      <c r="K23" s="60"/>
      <c r="L23" s="6">
        <f>IF(ISNA(MATCH("KeyOP",K$48:K54,0)),11,MATCH("KeyOP",K$48:K54,0)+20)</f>
        <v>11</v>
      </c>
      <c r="M23" s="294">
        <f t="shared" si="26"/>
        <v>31</v>
      </c>
      <c r="N23" s="294">
        <f t="shared" si="26"/>
        <v>31</v>
      </c>
      <c r="O23" s="294">
        <f t="shared" si="26"/>
        <v>30</v>
      </c>
      <c r="P23" s="294">
        <f t="shared" si="26"/>
        <v>31</v>
      </c>
      <c r="Q23" s="294">
        <f t="shared" si="26"/>
        <v>30</v>
      </c>
      <c r="R23" s="294">
        <f t="shared" si="26"/>
        <v>31</v>
      </c>
      <c r="S23" s="295">
        <f t="shared" si="26"/>
        <v>31</v>
      </c>
      <c r="T23" s="295">
        <f t="shared" si="26"/>
        <v>29</v>
      </c>
      <c r="U23" s="295">
        <f t="shared" si="26"/>
        <v>31</v>
      </c>
      <c r="V23" s="295">
        <f t="shared" si="26"/>
        <v>30</v>
      </c>
      <c r="W23" s="295">
        <f t="shared" si="26"/>
        <v>31</v>
      </c>
      <c r="X23" s="295">
        <f t="shared" si="26"/>
        <v>30</v>
      </c>
      <c r="Y23" s="295">
        <f t="shared" si="27"/>
        <v>366</v>
      </c>
      <c r="AA23" s="5"/>
      <c r="AB23" s="5"/>
      <c r="AC23" s="338"/>
      <c r="AD23" s="401">
        <f t="shared" ref="AD23:AD28" si="33">AO23</f>
        <v>244</v>
      </c>
      <c r="AE23" s="401">
        <f t="shared" ref="AE23:AE28" si="34">AP23</f>
        <v>29</v>
      </c>
      <c r="AF23" s="401">
        <f t="shared" ref="AF23:AF28" si="35">AQ23</f>
        <v>91</v>
      </c>
      <c r="AG23" s="401">
        <f t="shared" ref="AG23:AG28" si="36">AU23</f>
        <v>366</v>
      </c>
      <c r="AH23" s="332" t="str">
        <f>"ACT"&amp;AH22</f>
        <v>ACT2020</v>
      </c>
      <c r="AI23" s="332" t="str">
        <f>"BUD"&amp;AI22</f>
        <v>BUD2020</v>
      </c>
      <c r="AJ23" s="332"/>
      <c r="AK23" s="332" t="str">
        <f>"ACT"&amp;AK22</f>
        <v>ACT2019</v>
      </c>
      <c r="AL23" s="332"/>
      <c r="AM23" s="332"/>
      <c r="AN23" s="366">
        <f t="shared" si="28"/>
        <v>243</v>
      </c>
      <c r="AO23" s="366">
        <f t="shared" si="28"/>
        <v>244</v>
      </c>
      <c r="AP23" s="366">
        <f t="shared" si="28"/>
        <v>29</v>
      </c>
      <c r="AQ23" s="386">
        <f t="shared" si="29"/>
        <v>91</v>
      </c>
      <c r="AR23" s="357">
        <f t="shared" si="30"/>
        <v>29</v>
      </c>
      <c r="AS23" s="357">
        <f t="shared" si="30"/>
        <v>31</v>
      </c>
      <c r="AT23" s="357">
        <f t="shared" si="30"/>
        <v>31</v>
      </c>
      <c r="AU23" s="366">
        <f t="shared" si="30"/>
        <v>366</v>
      </c>
      <c r="AV23" s="366">
        <f t="shared" si="30"/>
        <v>244</v>
      </c>
      <c r="AW23" s="366">
        <f t="shared" si="30"/>
        <v>29</v>
      </c>
      <c r="BJ23" s="294">
        <f t="shared" si="31"/>
        <v>31</v>
      </c>
      <c r="BK23" s="294">
        <f t="shared" si="31"/>
        <v>31</v>
      </c>
      <c r="BL23" s="294">
        <f t="shared" si="31"/>
        <v>30</v>
      </c>
      <c r="BM23" s="294">
        <f t="shared" si="31"/>
        <v>31</v>
      </c>
      <c r="BN23" s="294">
        <f t="shared" si="31"/>
        <v>30</v>
      </c>
      <c r="BO23" s="294">
        <f t="shared" si="31"/>
        <v>31</v>
      </c>
      <c r="BP23" s="294">
        <f t="shared" si="31"/>
        <v>31</v>
      </c>
      <c r="BQ23" s="294">
        <f t="shared" si="31"/>
        <v>29</v>
      </c>
      <c r="BR23" s="294">
        <f t="shared" si="31"/>
        <v>31</v>
      </c>
      <c r="BS23" s="294">
        <f t="shared" si="31"/>
        <v>30</v>
      </c>
      <c r="BT23" s="294">
        <f t="shared" si="32"/>
        <v>31</v>
      </c>
      <c r="BU23" s="294">
        <f t="shared" si="32"/>
        <v>30</v>
      </c>
      <c r="BV23" s="294">
        <f t="shared" si="32"/>
        <v>31</v>
      </c>
      <c r="BW23" s="294">
        <f t="shared" si="32"/>
        <v>31</v>
      </c>
      <c r="BX23" s="294">
        <f t="shared" si="32"/>
        <v>30</v>
      </c>
      <c r="BY23" s="294">
        <f t="shared" si="32"/>
        <v>31</v>
      </c>
      <c r="BZ23" s="294">
        <f t="shared" si="32"/>
        <v>30</v>
      </c>
      <c r="CA23" s="294">
        <f t="shared" si="32"/>
        <v>31</v>
      </c>
      <c r="CB23" s="294">
        <f t="shared" si="32"/>
        <v>31</v>
      </c>
      <c r="CC23" s="294">
        <f t="shared" si="32"/>
        <v>28</v>
      </c>
      <c r="CD23" s="294">
        <f t="shared" si="32"/>
        <v>31</v>
      </c>
      <c r="CE23" s="294">
        <f t="shared" si="32"/>
        <v>30</v>
      </c>
      <c r="CF23" s="294">
        <f t="shared" si="32"/>
        <v>31</v>
      </c>
      <c r="CG23" s="294">
        <f t="shared" si="32"/>
        <v>30</v>
      </c>
      <c r="CH23" s="6"/>
      <c r="CT23" s="9" t="s">
        <v>394</v>
      </c>
      <c r="CU23" s="6">
        <f>MATCH("__GlobalStatDriver",CYFDriver!$A$1:$A$100,0)</f>
        <v>13</v>
      </c>
      <c r="CV23" s="28"/>
      <c r="CW23" s="28"/>
      <c r="CX23" s="28"/>
      <c r="CY23" s="28"/>
      <c r="CZ23" s="28"/>
      <c r="DA23" s="28"/>
      <c r="DB23" s="28"/>
      <c r="DC23" s="28"/>
      <c r="DD23" s="28"/>
      <c r="DE23" s="28"/>
      <c r="DF23" s="28"/>
      <c r="DG23" s="28"/>
    </row>
    <row r="24" spans="1:114" ht="16.8">
      <c r="C24" s="13"/>
      <c r="E24" s="142" t="s">
        <v>565</v>
      </c>
      <c r="G24" s="142">
        <v>3</v>
      </c>
      <c r="I24" s="40" t="s">
        <v>349</v>
      </c>
      <c r="J24" s="9" t="s">
        <v>226</v>
      </c>
      <c r="K24" s="60"/>
      <c r="L24" s="6">
        <f>IF(ISNA(MATCH("KeyOth",K$48:K54,0)),11,MATCH("KeyOth",K$48:K54,0)+20)</f>
        <v>11</v>
      </c>
      <c r="M24" s="294">
        <f t="shared" si="26"/>
        <v>31</v>
      </c>
      <c r="N24" s="294">
        <f t="shared" si="26"/>
        <v>31</v>
      </c>
      <c r="O24" s="294">
        <f t="shared" si="26"/>
        <v>30</v>
      </c>
      <c r="P24" s="294">
        <f t="shared" si="26"/>
        <v>31</v>
      </c>
      <c r="Q24" s="294">
        <f t="shared" si="26"/>
        <v>30</v>
      </c>
      <c r="R24" s="294">
        <f t="shared" si="26"/>
        <v>31</v>
      </c>
      <c r="S24" s="295">
        <f t="shared" si="26"/>
        <v>31</v>
      </c>
      <c r="T24" s="295">
        <f t="shared" si="26"/>
        <v>29</v>
      </c>
      <c r="U24" s="295">
        <f t="shared" si="26"/>
        <v>31</v>
      </c>
      <c r="V24" s="295">
        <f t="shared" si="26"/>
        <v>30</v>
      </c>
      <c r="W24" s="295">
        <f t="shared" si="26"/>
        <v>31</v>
      </c>
      <c r="X24" s="295">
        <f t="shared" si="26"/>
        <v>30</v>
      </c>
      <c r="Y24" s="295">
        <f t="shared" si="27"/>
        <v>366</v>
      </c>
      <c r="AA24" s="114"/>
      <c r="AB24" s="114"/>
      <c r="AC24" s="339"/>
      <c r="AD24" s="401">
        <f t="shared" si="33"/>
        <v>244</v>
      </c>
      <c r="AE24" s="401">
        <f t="shared" si="34"/>
        <v>29</v>
      </c>
      <c r="AF24" s="401">
        <f t="shared" si="35"/>
        <v>91</v>
      </c>
      <c r="AG24" s="401">
        <f t="shared" si="36"/>
        <v>366</v>
      </c>
      <c r="AH24" s="114"/>
      <c r="AI24" s="114"/>
      <c r="AJ24" s="114"/>
      <c r="AK24" s="114"/>
      <c r="AL24" s="114"/>
      <c r="AM24" s="114"/>
      <c r="AN24" s="366">
        <f t="shared" si="28"/>
        <v>243</v>
      </c>
      <c r="AO24" s="366">
        <f t="shared" si="28"/>
        <v>244</v>
      </c>
      <c r="AP24" s="366">
        <f t="shared" si="28"/>
        <v>29</v>
      </c>
      <c r="AQ24" s="386">
        <f t="shared" si="29"/>
        <v>91</v>
      </c>
      <c r="AR24" s="357">
        <f t="shared" si="30"/>
        <v>29</v>
      </c>
      <c r="AS24" s="357">
        <f t="shared" si="30"/>
        <v>31</v>
      </c>
      <c r="AT24" s="357">
        <f t="shared" si="30"/>
        <v>31</v>
      </c>
      <c r="AU24" s="366">
        <f t="shared" si="30"/>
        <v>366</v>
      </c>
      <c r="AV24" s="366">
        <f t="shared" si="30"/>
        <v>244</v>
      </c>
      <c r="AW24" s="366">
        <f t="shared" si="30"/>
        <v>29</v>
      </c>
      <c r="BJ24" s="294">
        <f t="shared" si="31"/>
        <v>31</v>
      </c>
      <c r="BK24" s="294">
        <f t="shared" si="31"/>
        <v>31</v>
      </c>
      <c r="BL24" s="294">
        <f t="shared" si="31"/>
        <v>30</v>
      </c>
      <c r="BM24" s="294">
        <f t="shared" si="31"/>
        <v>31</v>
      </c>
      <c r="BN24" s="294">
        <f t="shared" si="31"/>
        <v>30</v>
      </c>
      <c r="BO24" s="294">
        <f t="shared" si="31"/>
        <v>31</v>
      </c>
      <c r="BP24" s="294">
        <f t="shared" si="31"/>
        <v>31</v>
      </c>
      <c r="BQ24" s="294">
        <f t="shared" si="31"/>
        <v>29</v>
      </c>
      <c r="BR24" s="294">
        <f t="shared" si="31"/>
        <v>31</v>
      </c>
      <c r="BS24" s="294">
        <f t="shared" si="31"/>
        <v>30</v>
      </c>
      <c r="BT24" s="294">
        <f t="shared" si="32"/>
        <v>31</v>
      </c>
      <c r="BU24" s="294">
        <f t="shared" si="32"/>
        <v>30</v>
      </c>
      <c r="BV24" s="294">
        <f t="shared" si="32"/>
        <v>31</v>
      </c>
      <c r="BW24" s="294">
        <f t="shared" si="32"/>
        <v>31</v>
      </c>
      <c r="BX24" s="294">
        <f t="shared" si="32"/>
        <v>30</v>
      </c>
      <c r="BY24" s="294">
        <f t="shared" si="32"/>
        <v>31</v>
      </c>
      <c r="BZ24" s="294">
        <f t="shared" si="32"/>
        <v>30</v>
      </c>
      <c r="CA24" s="294">
        <f t="shared" si="32"/>
        <v>31</v>
      </c>
      <c r="CB24" s="294">
        <f t="shared" si="32"/>
        <v>31</v>
      </c>
      <c r="CC24" s="294">
        <f t="shared" si="32"/>
        <v>28</v>
      </c>
      <c r="CD24" s="294">
        <f t="shared" si="32"/>
        <v>31</v>
      </c>
      <c r="CE24" s="294">
        <f t="shared" si="32"/>
        <v>30</v>
      </c>
      <c r="CF24" s="294">
        <f t="shared" si="32"/>
        <v>31</v>
      </c>
      <c r="CG24" s="294">
        <f t="shared" si="32"/>
        <v>30</v>
      </c>
      <c r="CH24" s="6"/>
      <c r="CT24" s="333" t="s">
        <v>135</v>
      </c>
      <c r="CU24" s="334">
        <f>IF(ISNA(MATCH($CU$22,CYFDriver!$C$1:$C$100,0)),CU23,MATCH($CU$22,CYFDriver!$C$1:$C$100,0))</f>
        <v>25</v>
      </c>
      <c r="CV24" s="28"/>
      <c r="CW24" s="28"/>
      <c r="CX24" s="28"/>
      <c r="CY24" s="28"/>
      <c r="CZ24" s="28"/>
      <c r="DA24" s="28"/>
      <c r="DB24" s="28"/>
      <c r="DC24" s="28"/>
      <c r="DD24" s="28"/>
      <c r="DE24" s="28"/>
      <c r="DF24" s="28"/>
      <c r="DG24" s="28"/>
    </row>
    <row r="25" spans="1:114" ht="16.8">
      <c r="C25" s="13"/>
      <c r="E25" s="5"/>
      <c r="I25" s="40" t="s">
        <v>424</v>
      </c>
      <c r="K25" s="6">
        <f>IF(AND(L22=11,L23=11,L24=11),12,11)</f>
        <v>12</v>
      </c>
      <c r="L25" s="6"/>
      <c r="M25" s="437">
        <f t="shared" ref="M25:X25" si="37">IF($K25=12,M26,M54)</f>
        <v>31</v>
      </c>
      <c r="N25" s="437">
        <f t="shared" si="37"/>
        <v>31</v>
      </c>
      <c r="O25" s="437">
        <f t="shared" si="37"/>
        <v>30</v>
      </c>
      <c r="P25" s="437">
        <f t="shared" si="37"/>
        <v>31</v>
      </c>
      <c r="Q25" s="437">
        <f t="shared" si="37"/>
        <v>30</v>
      </c>
      <c r="R25" s="437">
        <f t="shared" si="37"/>
        <v>31</v>
      </c>
      <c r="S25" s="438">
        <f t="shared" si="37"/>
        <v>31</v>
      </c>
      <c r="T25" s="438">
        <f t="shared" si="37"/>
        <v>29</v>
      </c>
      <c r="U25" s="438">
        <f t="shared" si="37"/>
        <v>31</v>
      </c>
      <c r="V25" s="438">
        <f t="shared" si="37"/>
        <v>30</v>
      </c>
      <c r="W25" s="438">
        <f t="shared" si="37"/>
        <v>31</v>
      </c>
      <c r="X25" s="438">
        <f t="shared" si="37"/>
        <v>30</v>
      </c>
      <c r="Y25" s="438">
        <f t="shared" si="27"/>
        <v>366</v>
      </c>
      <c r="Z25" s="439"/>
      <c r="AA25" s="176"/>
      <c r="AB25" s="176"/>
      <c r="AC25" s="440"/>
      <c r="AD25" s="441">
        <f t="shared" si="33"/>
        <v>244</v>
      </c>
      <c r="AE25" s="441">
        <f t="shared" si="34"/>
        <v>29</v>
      </c>
      <c r="AF25" s="441">
        <f t="shared" si="35"/>
        <v>91</v>
      </c>
      <c r="AG25" s="441">
        <f t="shared" si="36"/>
        <v>366</v>
      </c>
      <c r="AH25" s="176"/>
      <c r="AI25" s="176"/>
      <c r="AJ25" s="176"/>
      <c r="AK25" s="176"/>
      <c r="AL25" s="176"/>
      <c r="AM25" s="176"/>
      <c r="AN25" s="442">
        <f>IF($K25=12,AN26,AN54)</f>
        <v>243</v>
      </c>
      <c r="AO25" s="442">
        <f>IF($K25=12,AO26,AO54)</f>
        <v>244</v>
      </c>
      <c r="AP25" s="442">
        <f>IF($K25=12,AP26,AP54)</f>
        <v>29</v>
      </c>
      <c r="AQ25" s="443">
        <f t="shared" si="29"/>
        <v>91</v>
      </c>
      <c r="AR25" s="444">
        <f t="shared" ref="AR25:AW25" si="38">IF($K25=12,AR26,AR54)</f>
        <v>29</v>
      </c>
      <c r="AS25" s="444">
        <f t="shared" si="38"/>
        <v>31</v>
      </c>
      <c r="AT25" s="444">
        <f t="shared" si="38"/>
        <v>31</v>
      </c>
      <c r="AU25" s="442">
        <f t="shared" si="38"/>
        <v>366</v>
      </c>
      <c r="AV25" s="442">
        <f t="shared" si="38"/>
        <v>244</v>
      </c>
      <c r="AW25" s="442">
        <f t="shared" si="38"/>
        <v>29</v>
      </c>
      <c r="AX25" s="445"/>
      <c r="AY25" s="176"/>
      <c r="AZ25" s="176"/>
      <c r="BA25" s="176"/>
      <c r="BB25" s="176"/>
      <c r="BC25" s="176"/>
      <c r="BD25" s="176"/>
      <c r="BE25" s="176"/>
      <c r="BF25" s="176"/>
      <c r="BG25" s="176"/>
      <c r="BH25" s="176"/>
      <c r="BI25" s="176"/>
      <c r="BJ25" s="437">
        <f t="shared" ref="BJ25:CG25" si="39">IF($K25=12,BJ26,BJ54)</f>
        <v>31</v>
      </c>
      <c r="BK25" s="437">
        <f t="shared" si="39"/>
        <v>31</v>
      </c>
      <c r="BL25" s="437">
        <f t="shared" si="39"/>
        <v>30</v>
      </c>
      <c r="BM25" s="437">
        <f t="shared" si="39"/>
        <v>31</v>
      </c>
      <c r="BN25" s="437">
        <f t="shared" si="39"/>
        <v>30</v>
      </c>
      <c r="BO25" s="437">
        <f t="shared" si="39"/>
        <v>31</v>
      </c>
      <c r="BP25" s="437">
        <f t="shared" si="39"/>
        <v>31</v>
      </c>
      <c r="BQ25" s="437">
        <f t="shared" si="39"/>
        <v>29</v>
      </c>
      <c r="BR25" s="437">
        <f t="shared" si="39"/>
        <v>31</v>
      </c>
      <c r="BS25" s="437">
        <f t="shared" si="39"/>
        <v>30</v>
      </c>
      <c r="BT25" s="437">
        <f t="shared" si="39"/>
        <v>31</v>
      </c>
      <c r="BU25" s="437">
        <f t="shared" si="39"/>
        <v>30</v>
      </c>
      <c r="BV25" s="437">
        <f t="shared" si="39"/>
        <v>31</v>
      </c>
      <c r="BW25" s="437">
        <f t="shared" si="39"/>
        <v>31</v>
      </c>
      <c r="BX25" s="437">
        <f t="shared" si="39"/>
        <v>30</v>
      </c>
      <c r="BY25" s="437">
        <f t="shared" si="39"/>
        <v>31</v>
      </c>
      <c r="BZ25" s="437">
        <f t="shared" si="39"/>
        <v>30</v>
      </c>
      <c r="CA25" s="437">
        <f t="shared" si="39"/>
        <v>31</v>
      </c>
      <c r="CB25" s="437">
        <f t="shared" si="39"/>
        <v>31</v>
      </c>
      <c r="CC25" s="437">
        <f t="shared" si="39"/>
        <v>28</v>
      </c>
      <c r="CD25" s="437">
        <f t="shared" si="39"/>
        <v>31</v>
      </c>
      <c r="CE25" s="437">
        <f t="shared" si="39"/>
        <v>30</v>
      </c>
      <c r="CF25" s="437">
        <f t="shared" si="39"/>
        <v>31</v>
      </c>
      <c r="CG25" s="437">
        <f t="shared" si="39"/>
        <v>30</v>
      </c>
      <c r="CH25" s="6"/>
      <c r="CS25" s="28"/>
      <c r="CT25" s="333" t="s">
        <v>230</v>
      </c>
      <c r="CU25" s="334">
        <f>IF(ISNA(MATCH($CU$22&amp;"__Dept_"&amp;$J$19,CYFDriver!$A$1:$A$100,0)),$CU$24,MATCH($CU$22&amp;"__Dept_"&amp;$J$19,CYFDriver!$A$1:$A$100,0))</f>
        <v>25</v>
      </c>
      <c r="CV25" s="454"/>
      <c r="CW25" s="28"/>
      <c r="CX25" s="28"/>
      <c r="CY25" s="28"/>
      <c r="CZ25" s="28"/>
      <c r="DA25" s="28"/>
      <c r="DB25" s="28"/>
      <c r="DC25" s="28"/>
      <c r="DD25" s="28"/>
      <c r="DE25" s="28"/>
      <c r="DF25" s="28"/>
      <c r="DG25" s="28"/>
    </row>
    <row r="26" spans="1:114" ht="16.8">
      <c r="C26" s="13"/>
      <c r="E26" s="5"/>
      <c r="I26" s="40" t="s">
        <v>624</v>
      </c>
      <c r="K26" s="60"/>
      <c r="L26" s="6"/>
      <c r="M26" s="6" cm="1">
        <f t="array" ref="M26">_xll.GetData("CYDays", "Code = "&amp;M$21, "Period")</f>
        <v>31</v>
      </c>
      <c r="N26" s="6" cm="1">
        <f t="array" ref="N26">_xll.GetData("CYDays", "Code = "&amp;N$21, "Period")</f>
        <v>31</v>
      </c>
      <c r="O26" s="6" cm="1">
        <f t="array" ref="O26">_xll.GetData("CYDays", "Code = "&amp;O$21, "Period")</f>
        <v>30</v>
      </c>
      <c r="P26" s="6" cm="1">
        <f t="array" ref="P26">_xll.GetData("CYDays", "Code = "&amp;P$21, "Period")</f>
        <v>31</v>
      </c>
      <c r="Q26" s="6" cm="1">
        <f t="array" ref="Q26">_xll.GetData("CYDays", "Code = "&amp;Q$21, "Period")</f>
        <v>30</v>
      </c>
      <c r="R26" s="6" cm="1">
        <f t="array" ref="R26">_xll.GetData("CYDays", "Code = "&amp;R$21, "Period")</f>
        <v>31</v>
      </c>
      <c r="S26" s="6" cm="1">
        <f t="array" ref="S26">_xll.GetData("CYDays", "Code = "&amp;S$21, "Period")</f>
        <v>31</v>
      </c>
      <c r="T26" s="6" cm="1">
        <f t="array" ref="T26">_xll.GetData("CYDays", "Code = "&amp;T$21, "Period")</f>
        <v>29</v>
      </c>
      <c r="U26" s="6" cm="1">
        <f t="array" ref="U26">_xll.GetData("CYDays", "Code = "&amp;U$21, "Period")</f>
        <v>31</v>
      </c>
      <c r="V26" s="6" cm="1">
        <f t="array" ref="V26">_xll.GetData("CYDays", "Code = "&amp;V$21, "Period")</f>
        <v>30</v>
      </c>
      <c r="W26" s="6" cm="1">
        <f t="array" ref="W26">_xll.GetData("CYDays", "Code = "&amp;W$21, "Period")</f>
        <v>31</v>
      </c>
      <c r="X26" s="6" cm="1">
        <f t="array" ref="X26">_xll.GetData("CYDays", "Code = "&amp;X$21, "Period")</f>
        <v>30</v>
      </c>
      <c r="Y26" s="6">
        <f t="shared" si="27"/>
        <v>366</v>
      </c>
      <c r="AD26" s="401">
        <f t="shared" si="33"/>
        <v>244</v>
      </c>
      <c r="AE26" s="401">
        <f t="shared" si="34"/>
        <v>29</v>
      </c>
      <c r="AF26" s="401">
        <f t="shared" si="35"/>
        <v>91</v>
      </c>
      <c r="AG26" s="401">
        <f t="shared" si="36"/>
        <v>366</v>
      </c>
      <c r="AN26" s="366" cm="1">
        <f t="array" ref="AN26">_xll.GetData("Period.LYTDDays","Code = "&amp;J20)</f>
        <v>243</v>
      </c>
      <c r="AO26" s="366" cm="1">
        <f t="array" ref="AO26">_xll.GetData("Period.CYTDDays","Code = "&amp;J20)</f>
        <v>244</v>
      </c>
      <c r="AP26" s="366" cm="1">
        <f t="array" ref="AP26">_xll.GetData("Period.CYDays","Code = "&amp;J20)</f>
        <v>29</v>
      </c>
      <c r="AQ26" s="386">
        <f t="shared" si="29"/>
        <v>91</v>
      </c>
      <c r="AR26" s="357" cm="1">
        <f t="array" ref="AR26">_xll.GetData("Period."&amp;IF(AR$20=$AH23,"CY","LY")&amp;"Days","Code = "&amp;AR47)</f>
        <v>29</v>
      </c>
      <c r="AS26" s="357" cm="1">
        <f t="array" ref="AS26">_xll.GetData("Period."&amp;IF(AS$20=$AH23,"CY","LY")&amp;"Days","Code = "&amp;AS47)</f>
        <v>31</v>
      </c>
      <c r="AT26" s="357" cm="1">
        <f t="array" ref="AT26">_xll.GetData("Period."&amp;IF(AT$20=$AH23,"CY","LY")&amp;"Days","Code = "&amp;AT47)</f>
        <v>31</v>
      </c>
      <c r="AU26" s="366" cm="1">
        <f t="array" ref="AU26">_xll.GetData("Period.CYTDDays","Code = 12")</f>
        <v>366</v>
      </c>
      <c r="AV26" s="366">
        <f>AO26</f>
        <v>244</v>
      </c>
      <c r="AW26" s="366">
        <f>AP26</f>
        <v>29</v>
      </c>
      <c r="BJ26" s="294">
        <f t="shared" ref="BJ26:BU26" si="40">M26</f>
        <v>31</v>
      </c>
      <c r="BK26" s="294">
        <f t="shared" si="40"/>
        <v>31</v>
      </c>
      <c r="BL26" s="294">
        <f t="shared" si="40"/>
        <v>30</v>
      </c>
      <c r="BM26" s="294">
        <f t="shared" si="40"/>
        <v>31</v>
      </c>
      <c r="BN26" s="294">
        <f t="shared" si="40"/>
        <v>30</v>
      </c>
      <c r="BO26" s="294">
        <f t="shared" si="40"/>
        <v>31</v>
      </c>
      <c r="BP26" s="294">
        <f t="shared" si="40"/>
        <v>31</v>
      </c>
      <c r="BQ26" s="294">
        <f t="shared" si="40"/>
        <v>29</v>
      </c>
      <c r="BR26" s="294">
        <f t="shared" si="40"/>
        <v>31</v>
      </c>
      <c r="BS26" s="294">
        <f t="shared" si="40"/>
        <v>30</v>
      </c>
      <c r="BT26" s="294">
        <f t="shared" si="40"/>
        <v>31</v>
      </c>
      <c r="BU26" s="294">
        <f t="shared" si="40"/>
        <v>30</v>
      </c>
      <c r="BV26" s="294" cm="1">
        <f t="array" ref="BV26">_xll.GetData("Period.LYDays","Code = "&amp;BV21)</f>
        <v>31</v>
      </c>
      <c r="BW26" s="294" cm="1">
        <f t="array" ref="BW26">_xll.GetData("Period.LYDays","Code = "&amp;BW21)</f>
        <v>31</v>
      </c>
      <c r="BX26" s="294" cm="1">
        <f t="array" ref="BX26">_xll.GetData("Period.LYDays","Code = "&amp;BX21)</f>
        <v>30</v>
      </c>
      <c r="BY26" s="294" cm="1">
        <f t="array" ref="BY26">_xll.GetData("Period.LYDays","Code = "&amp;BY21)</f>
        <v>31</v>
      </c>
      <c r="BZ26" s="294" cm="1">
        <f t="array" ref="BZ26">_xll.GetData("Period.LYDays","Code = "&amp;BZ21)</f>
        <v>30</v>
      </c>
      <c r="CA26" s="294" cm="1">
        <f t="array" ref="CA26">_xll.GetData("Period.LYDays","Code = "&amp;CA21)</f>
        <v>31</v>
      </c>
      <c r="CB26" s="294" cm="1">
        <f t="array" ref="CB26">_xll.GetData("Period.LYDays","Code = "&amp;CB21)</f>
        <v>31</v>
      </c>
      <c r="CC26" s="294" cm="1">
        <f t="array" ref="CC26">_xll.GetData("Period.LYDays","Code = "&amp;CC21)</f>
        <v>28</v>
      </c>
      <c r="CD26" s="294" cm="1">
        <f t="array" ref="CD26">_xll.GetData("Period.LYDays","Code = "&amp;CD21)</f>
        <v>31</v>
      </c>
      <c r="CE26" s="294" cm="1">
        <f t="array" ref="CE26">_xll.GetData("Period.LYDays","Code = "&amp;CE21)</f>
        <v>30</v>
      </c>
      <c r="CF26" s="294" cm="1">
        <f t="array" ref="CF26">_xll.GetData("Period.LYDays","Code = "&amp;CF21)</f>
        <v>31</v>
      </c>
      <c r="CG26" s="294" cm="1">
        <f t="array" ref="CG26">_xll.GetData("Period.LYDays","Code = "&amp;CG21)</f>
        <v>30</v>
      </c>
      <c r="CH26" s="6" cm="1">
        <f t="array" ref="CH26">_xll.GetData("Period.CYDays","Code = "&amp;CH21)</f>
        <v>31</v>
      </c>
      <c r="CI26" s="6" cm="1">
        <f t="array" ref="CI26">_xll.GetData("Period.CYDays","Code = "&amp;CI21)</f>
        <v>31</v>
      </c>
      <c r="CJ26" s="6" cm="1">
        <f t="array" ref="CJ26">_xll.GetData("Period.CYDays","Code = "&amp;CJ21)</f>
        <v>30</v>
      </c>
      <c r="CK26" s="6" cm="1">
        <f t="array" ref="CK26">_xll.GetData("Period.CYDays","Code = "&amp;CK21)</f>
        <v>31</v>
      </c>
      <c r="CL26" s="6" cm="1">
        <f t="array" ref="CL26">_xll.GetData("Period.CYDays","Code = "&amp;CL21)</f>
        <v>30</v>
      </c>
      <c r="CM26" s="6" cm="1">
        <f t="array" ref="CM26">_xll.GetData("Period.CYDays","Code = "&amp;CM21)</f>
        <v>31</v>
      </c>
      <c r="CN26" s="6" cm="1">
        <f t="array" ref="CN26">_xll.GetData("Period.CYDays","Code = "&amp;CN21)</f>
        <v>31</v>
      </c>
      <c r="CO26" s="6" cm="1">
        <f t="array" ref="CO26">_xll.GetData("Period.CYDays","Code = "&amp;CO21)</f>
        <v>29</v>
      </c>
      <c r="CP26" s="6" cm="1">
        <f t="array" ref="CP26">_xll.GetData("Period.CYDays","Code = "&amp;CP21)</f>
        <v>31</v>
      </c>
      <c r="CQ26" s="6" cm="1">
        <f t="array" ref="CQ26">_xll.GetData("Period.CYDays","Code = "&amp;CQ21)</f>
        <v>30</v>
      </c>
      <c r="CR26" s="6" cm="1">
        <f t="array" ref="CR26">_xll.GetData("Period.CYDays","Code = "&amp;CR21)</f>
        <v>31</v>
      </c>
      <c r="CS26" s="6" cm="1">
        <f t="array" ref="CS26">_xll.GetData("Period.CYDays","Code = "&amp;CS21)</f>
        <v>30</v>
      </c>
      <c r="CT26" s="333" t="s">
        <v>74</v>
      </c>
      <c r="CU26" s="333" t="str" cm="1">
        <f t="array" ref="CU26">INDEX(CYFDriver!$F$1:$F$100,$CU$25)</f>
        <v>0_S_KeyIP</v>
      </c>
      <c r="CW26" s="148"/>
      <c r="CX26" s="28"/>
      <c r="CY26" s="28"/>
      <c r="CZ26" s="28"/>
      <c r="DA26" s="28"/>
      <c r="DB26" s="28"/>
      <c r="DC26" s="28"/>
      <c r="DD26" s="28"/>
      <c r="DE26" s="28"/>
      <c r="DF26" s="28"/>
      <c r="DG26" s="28"/>
    </row>
    <row r="27" spans="1:114" ht="16.8">
      <c r="C27" s="13"/>
      <c r="E27" s="5"/>
      <c r="I27" s="40" t="s">
        <v>702</v>
      </c>
      <c r="J27" s="60" t="s">
        <v>706</v>
      </c>
      <c r="K27" s="60"/>
      <c r="L27" s="6"/>
      <c r="M27" s="294">
        <f t="shared" ref="M27:X27" si="41">SUMIF($L$48:$L$122,$J27,M$48:M$122)</f>
        <v>0</v>
      </c>
      <c r="N27" s="294">
        <f t="shared" si="41"/>
        <v>0</v>
      </c>
      <c r="O27" s="294">
        <f t="shared" si="41"/>
        <v>0</v>
      </c>
      <c r="P27" s="294">
        <f t="shared" si="41"/>
        <v>0</v>
      </c>
      <c r="Q27" s="294">
        <f t="shared" si="41"/>
        <v>0</v>
      </c>
      <c r="R27" s="294">
        <f t="shared" si="41"/>
        <v>0</v>
      </c>
      <c r="S27" s="294">
        <f t="shared" si="41"/>
        <v>0</v>
      </c>
      <c r="T27" s="294">
        <f t="shared" si="41"/>
        <v>0</v>
      </c>
      <c r="U27" s="294">
        <f t="shared" si="41"/>
        <v>0</v>
      </c>
      <c r="V27" s="294">
        <f t="shared" si="41"/>
        <v>0</v>
      </c>
      <c r="W27" s="294">
        <f t="shared" si="41"/>
        <v>0</v>
      </c>
      <c r="X27" s="294">
        <f t="shared" si="41"/>
        <v>0</v>
      </c>
      <c r="Y27" s="295">
        <f t="shared" si="27"/>
        <v>0</v>
      </c>
      <c r="AD27" s="401">
        <f t="shared" si="33"/>
        <v>0</v>
      </c>
      <c r="AE27" s="401">
        <f t="shared" si="34"/>
        <v>0</v>
      </c>
      <c r="AF27" s="401">
        <f t="shared" si="35"/>
        <v>0</v>
      </c>
      <c r="AG27" s="401">
        <f t="shared" si="36"/>
        <v>0</v>
      </c>
      <c r="AN27" s="366">
        <f>SUMIF($L$48:$L$122,$J27,AN$48:AN$122)</f>
        <v>0</v>
      </c>
      <c r="AO27" s="366">
        <f>SUMIF($L$48:$L$122,$J27,AO$48:AO$122)</f>
        <v>0</v>
      </c>
      <c r="AP27" s="366">
        <f>SUMIF($L$48:$L$122,$J27,AP$48:AP$122)</f>
        <v>0</v>
      </c>
      <c r="AQ27" s="386">
        <f t="shared" si="29"/>
        <v>0</v>
      </c>
      <c r="AR27" s="357">
        <f t="shared" ref="AR27:BW27" si="42">SUMIF($L$48:$L$122,$J27,AR$48:AR$122)</f>
        <v>0</v>
      </c>
      <c r="AS27" s="357">
        <f t="shared" si="42"/>
        <v>0</v>
      </c>
      <c r="AT27" s="357">
        <f t="shared" si="42"/>
        <v>0</v>
      </c>
      <c r="AU27" s="366">
        <f t="shared" si="42"/>
        <v>0</v>
      </c>
      <c r="AV27" s="366">
        <f t="shared" si="42"/>
        <v>0</v>
      </c>
      <c r="AW27" s="366">
        <f t="shared" si="42"/>
        <v>0</v>
      </c>
      <c r="AX27" s="329">
        <f t="shared" si="42"/>
        <v>0</v>
      </c>
      <c r="AY27" s="330">
        <f t="shared" si="42"/>
        <v>0</v>
      </c>
      <c r="AZ27" s="330">
        <f t="shared" si="42"/>
        <v>0</v>
      </c>
      <c r="BA27" s="330">
        <f t="shared" si="42"/>
        <v>0</v>
      </c>
      <c r="BB27" s="330">
        <f t="shared" si="42"/>
        <v>0</v>
      </c>
      <c r="BC27" s="330">
        <f t="shared" si="42"/>
        <v>0</v>
      </c>
      <c r="BD27" s="330">
        <f t="shared" si="42"/>
        <v>0</v>
      </c>
      <c r="BE27" s="330">
        <f t="shared" si="42"/>
        <v>0</v>
      </c>
      <c r="BF27" s="330">
        <f t="shared" si="42"/>
        <v>0</v>
      </c>
      <c r="BG27" s="330">
        <f t="shared" si="42"/>
        <v>0</v>
      </c>
      <c r="BH27" s="330">
        <f t="shared" si="42"/>
        <v>0</v>
      </c>
      <c r="BI27" s="330">
        <f t="shared" si="42"/>
        <v>0</v>
      </c>
      <c r="BJ27" s="294">
        <f t="shared" si="42"/>
        <v>0</v>
      </c>
      <c r="BK27" s="294">
        <f t="shared" si="42"/>
        <v>0</v>
      </c>
      <c r="BL27" s="294">
        <f t="shared" si="42"/>
        <v>0</v>
      </c>
      <c r="BM27" s="294">
        <f t="shared" si="42"/>
        <v>0</v>
      </c>
      <c r="BN27" s="294">
        <f t="shared" si="42"/>
        <v>0</v>
      </c>
      <c r="BO27" s="294">
        <f t="shared" si="42"/>
        <v>0</v>
      </c>
      <c r="BP27" s="294">
        <f t="shared" si="42"/>
        <v>0</v>
      </c>
      <c r="BQ27" s="294">
        <f t="shared" si="42"/>
        <v>0</v>
      </c>
      <c r="BR27" s="294">
        <f t="shared" si="42"/>
        <v>0</v>
      </c>
      <c r="BS27" s="294">
        <f t="shared" si="42"/>
        <v>0</v>
      </c>
      <c r="BT27" s="294">
        <f t="shared" si="42"/>
        <v>0</v>
      </c>
      <c r="BU27" s="294">
        <f t="shared" si="42"/>
        <v>0</v>
      </c>
      <c r="BV27" s="294">
        <f t="shared" si="42"/>
        <v>0</v>
      </c>
      <c r="BW27" s="294">
        <f t="shared" si="42"/>
        <v>0</v>
      </c>
      <c r="BX27" s="294">
        <f t="shared" ref="BX27:CS27" si="43">SUMIF($L$48:$L$122,$J27,BX$48:BX$122)</f>
        <v>0</v>
      </c>
      <c r="BY27" s="294">
        <f t="shared" si="43"/>
        <v>0</v>
      </c>
      <c r="BZ27" s="294">
        <f t="shared" si="43"/>
        <v>0</v>
      </c>
      <c r="CA27" s="294">
        <f t="shared" si="43"/>
        <v>0</v>
      </c>
      <c r="CB27" s="294">
        <f t="shared" si="43"/>
        <v>0</v>
      </c>
      <c r="CC27" s="294">
        <f t="shared" si="43"/>
        <v>0</v>
      </c>
      <c r="CD27" s="294">
        <f t="shared" si="43"/>
        <v>0</v>
      </c>
      <c r="CE27" s="294">
        <f t="shared" si="43"/>
        <v>0</v>
      </c>
      <c r="CF27" s="294">
        <f t="shared" si="43"/>
        <v>0</v>
      </c>
      <c r="CG27" s="294">
        <f t="shared" si="43"/>
        <v>0</v>
      </c>
      <c r="CH27" s="294">
        <f t="shared" si="43"/>
        <v>0</v>
      </c>
      <c r="CI27" s="294">
        <f t="shared" si="43"/>
        <v>0</v>
      </c>
      <c r="CJ27" s="294">
        <f t="shared" si="43"/>
        <v>0</v>
      </c>
      <c r="CK27" s="294">
        <f t="shared" si="43"/>
        <v>0</v>
      </c>
      <c r="CL27" s="294">
        <f t="shared" si="43"/>
        <v>0</v>
      </c>
      <c r="CM27" s="294">
        <f t="shared" si="43"/>
        <v>0</v>
      </c>
      <c r="CN27" s="294">
        <f t="shared" si="43"/>
        <v>0</v>
      </c>
      <c r="CO27" s="294">
        <f t="shared" si="43"/>
        <v>0</v>
      </c>
      <c r="CP27" s="294">
        <f t="shared" si="43"/>
        <v>0</v>
      </c>
      <c r="CQ27" s="294">
        <f t="shared" si="43"/>
        <v>0</v>
      </c>
      <c r="CR27" s="294">
        <f t="shared" si="43"/>
        <v>0</v>
      </c>
      <c r="CS27" s="294">
        <f t="shared" si="43"/>
        <v>0</v>
      </c>
      <c r="CT27" s="333" t="s">
        <v>75</v>
      </c>
      <c r="CU27" s="333" t="str" cm="1">
        <f t="array" ref="CU27">INDEX(CYFDriver!$H$1:$H$100,$CU$25)</f>
        <v>0_S_KeyOP</v>
      </c>
      <c r="CV27" s="148"/>
      <c r="CW27" s="148"/>
      <c r="CX27" s="28"/>
      <c r="CY27" s="28"/>
      <c r="CZ27" s="28"/>
      <c r="DA27" s="28"/>
      <c r="DB27" s="28"/>
      <c r="DC27" s="28"/>
      <c r="DD27" s="28"/>
      <c r="DE27" s="28"/>
      <c r="DF27" s="28"/>
      <c r="DG27" s="28"/>
    </row>
    <row r="28" spans="1:114" ht="16.8">
      <c r="C28" s="13"/>
      <c r="E28" s="5"/>
      <c r="I28" s="40" t="s">
        <v>703</v>
      </c>
      <c r="J28" s="60" t="s">
        <v>182</v>
      </c>
      <c r="K28" s="60"/>
      <c r="L28" s="6"/>
      <c r="M28" s="294">
        <f t="shared" ref="M28:X28" si="44">SUMIF($K$48:$K$122,$J28,M$48:M$122)</f>
        <v>0</v>
      </c>
      <c r="N28" s="294">
        <f t="shared" si="44"/>
        <v>0</v>
      </c>
      <c r="O28" s="294">
        <f t="shared" si="44"/>
        <v>0</v>
      </c>
      <c r="P28" s="294">
        <f t="shared" si="44"/>
        <v>0</v>
      </c>
      <c r="Q28" s="294">
        <f t="shared" si="44"/>
        <v>0</v>
      </c>
      <c r="R28" s="294">
        <f t="shared" si="44"/>
        <v>0</v>
      </c>
      <c r="S28" s="294">
        <f t="shared" si="44"/>
        <v>0</v>
      </c>
      <c r="T28" s="294">
        <f t="shared" si="44"/>
        <v>0</v>
      </c>
      <c r="U28" s="294">
        <f t="shared" si="44"/>
        <v>0</v>
      </c>
      <c r="V28" s="294">
        <f t="shared" si="44"/>
        <v>0</v>
      </c>
      <c r="W28" s="294">
        <f t="shared" si="44"/>
        <v>0</v>
      </c>
      <c r="X28" s="294">
        <f t="shared" si="44"/>
        <v>0</v>
      </c>
      <c r="Y28" s="295">
        <f t="shared" si="27"/>
        <v>0</v>
      </c>
      <c r="AD28" s="401">
        <f t="shared" si="33"/>
        <v>0</v>
      </c>
      <c r="AE28" s="401">
        <f t="shared" si="34"/>
        <v>0</v>
      </c>
      <c r="AF28" s="401">
        <f t="shared" si="35"/>
        <v>0</v>
      </c>
      <c r="AG28" s="401">
        <f t="shared" si="36"/>
        <v>0</v>
      </c>
      <c r="AN28" s="366">
        <f>SUMIF($K$48:$K$122,$J28,AN$48:AN$122)</f>
        <v>0</v>
      </c>
      <c r="AO28" s="366">
        <f>SUMIF($K$48:$K$122,$J28,AO$48:AO$122)</f>
        <v>0</v>
      </c>
      <c r="AP28" s="366">
        <f>SUMIF($K$48:$K$122,$J28,AP$48:AP$122)</f>
        <v>0</v>
      </c>
      <c r="AQ28" s="386">
        <f t="shared" si="29"/>
        <v>0</v>
      </c>
      <c r="AR28" s="357">
        <f t="shared" ref="AR28:BW28" si="45">SUMIF($K$48:$K$122,$J28,AR$48:AR$122)</f>
        <v>0</v>
      </c>
      <c r="AS28" s="357">
        <f t="shared" si="45"/>
        <v>0</v>
      </c>
      <c r="AT28" s="357">
        <f t="shared" si="45"/>
        <v>0</v>
      </c>
      <c r="AU28" s="366">
        <f t="shared" si="45"/>
        <v>0</v>
      </c>
      <c r="AV28" s="366">
        <f t="shared" si="45"/>
        <v>0</v>
      </c>
      <c r="AW28" s="366">
        <f t="shared" si="45"/>
        <v>0</v>
      </c>
      <c r="AX28" s="329">
        <f t="shared" si="45"/>
        <v>0</v>
      </c>
      <c r="AY28" s="330">
        <f t="shared" si="45"/>
        <v>0</v>
      </c>
      <c r="AZ28" s="330">
        <f t="shared" si="45"/>
        <v>0</v>
      </c>
      <c r="BA28" s="330">
        <f t="shared" si="45"/>
        <v>0</v>
      </c>
      <c r="BB28" s="330">
        <f t="shared" si="45"/>
        <v>0</v>
      </c>
      <c r="BC28" s="330">
        <f t="shared" si="45"/>
        <v>0</v>
      </c>
      <c r="BD28" s="330">
        <f t="shared" si="45"/>
        <v>0</v>
      </c>
      <c r="BE28" s="330">
        <f t="shared" si="45"/>
        <v>0</v>
      </c>
      <c r="BF28" s="330">
        <f t="shared" si="45"/>
        <v>0</v>
      </c>
      <c r="BG28" s="330">
        <f t="shared" si="45"/>
        <v>0</v>
      </c>
      <c r="BH28" s="330">
        <f t="shared" si="45"/>
        <v>0</v>
      </c>
      <c r="BI28" s="330">
        <f t="shared" si="45"/>
        <v>0</v>
      </c>
      <c r="BJ28" s="294">
        <f t="shared" si="45"/>
        <v>0</v>
      </c>
      <c r="BK28" s="294">
        <f t="shared" si="45"/>
        <v>0</v>
      </c>
      <c r="BL28" s="294">
        <f t="shared" si="45"/>
        <v>0</v>
      </c>
      <c r="BM28" s="294">
        <f t="shared" si="45"/>
        <v>0</v>
      </c>
      <c r="BN28" s="294">
        <f t="shared" si="45"/>
        <v>0</v>
      </c>
      <c r="BO28" s="294">
        <f t="shared" si="45"/>
        <v>0</v>
      </c>
      <c r="BP28" s="294">
        <f t="shared" si="45"/>
        <v>0</v>
      </c>
      <c r="BQ28" s="294">
        <f t="shared" si="45"/>
        <v>0</v>
      </c>
      <c r="BR28" s="294">
        <f t="shared" si="45"/>
        <v>0</v>
      </c>
      <c r="BS28" s="294">
        <f t="shared" si="45"/>
        <v>0</v>
      </c>
      <c r="BT28" s="294">
        <f t="shared" si="45"/>
        <v>0</v>
      </c>
      <c r="BU28" s="294">
        <f t="shared" si="45"/>
        <v>0</v>
      </c>
      <c r="BV28" s="294">
        <f t="shared" si="45"/>
        <v>0</v>
      </c>
      <c r="BW28" s="294">
        <f t="shared" si="45"/>
        <v>0</v>
      </c>
      <c r="BX28" s="294">
        <f t="shared" ref="BX28:CS28" si="46">SUMIF($K$48:$K$122,$J28,BX$48:BX$122)</f>
        <v>0</v>
      </c>
      <c r="BY28" s="294">
        <f t="shared" si="46"/>
        <v>0</v>
      </c>
      <c r="BZ28" s="294">
        <f t="shared" si="46"/>
        <v>0</v>
      </c>
      <c r="CA28" s="294">
        <f t="shared" si="46"/>
        <v>0</v>
      </c>
      <c r="CB28" s="294">
        <f t="shared" si="46"/>
        <v>0</v>
      </c>
      <c r="CC28" s="294">
        <f t="shared" si="46"/>
        <v>0</v>
      </c>
      <c r="CD28" s="294">
        <f t="shared" si="46"/>
        <v>0</v>
      </c>
      <c r="CE28" s="294">
        <f t="shared" si="46"/>
        <v>0</v>
      </c>
      <c r="CF28" s="294">
        <f t="shared" si="46"/>
        <v>0</v>
      </c>
      <c r="CG28" s="294">
        <f t="shared" si="46"/>
        <v>0</v>
      </c>
      <c r="CH28" s="294">
        <f t="shared" si="46"/>
        <v>0</v>
      </c>
      <c r="CI28" s="294">
        <f t="shared" si="46"/>
        <v>0</v>
      </c>
      <c r="CJ28" s="294">
        <f t="shared" si="46"/>
        <v>0</v>
      </c>
      <c r="CK28" s="294">
        <f t="shared" si="46"/>
        <v>0</v>
      </c>
      <c r="CL28" s="294">
        <f t="shared" si="46"/>
        <v>0</v>
      </c>
      <c r="CM28" s="294">
        <f t="shared" si="46"/>
        <v>0</v>
      </c>
      <c r="CN28" s="294">
        <f t="shared" si="46"/>
        <v>0</v>
      </c>
      <c r="CO28" s="294">
        <f t="shared" si="46"/>
        <v>0</v>
      </c>
      <c r="CP28" s="294">
        <f t="shared" si="46"/>
        <v>0</v>
      </c>
      <c r="CQ28" s="294">
        <f t="shared" si="46"/>
        <v>0</v>
      </c>
      <c r="CR28" s="294">
        <f t="shared" si="46"/>
        <v>0</v>
      </c>
      <c r="CS28" s="294">
        <f t="shared" si="46"/>
        <v>0</v>
      </c>
      <c r="CT28" s="333" t="s">
        <v>76</v>
      </c>
      <c r="CU28" s="333" t="str" cm="1">
        <f t="array" ref="CU28">INDEX(CYFDriver!$J$1:$J$100,$CU$25)</f>
        <v>0_S_KeyOth</v>
      </c>
      <c r="CV28" s="148"/>
      <c r="CW28" s="148"/>
      <c r="CX28" s="28"/>
      <c r="CY28" s="28"/>
      <c r="CZ28" s="28"/>
      <c r="DA28" s="28"/>
      <c r="DB28" s="28"/>
      <c r="DC28" s="28"/>
      <c r="DD28" s="28"/>
      <c r="DE28" s="28"/>
      <c r="DF28" s="28"/>
      <c r="DG28" s="28"/>
    </row>
    <row r="29" spans="1:114" ht="16.8">
      <c r="C29" s="13"/>
      <c r="E29" s="5"/>
      <c r="I29" s="40" t="s">
        <v>178</v>
      </c>
      <c r="K29" s="60"/>
      <c r="L29" s="5" t="str">
        <f t="shared" ref="L29:X29" si="47">SUBSTITUTE(ADDRESS(1,COLUMN(),4),"1","")</f>
        <v>L</v>
      </c>
      <c r="M29" s="5" t="str">
        <f t="shared" si="47"/>
        <v>M</v>
      </c>
      <c r="N29" s="5" t="str">
        <f t="shared" si="47"/>
        <v>N</v>
      </c>
      <c r="O29" s="5" t="str">
        <f t="shared" si="47"/>
        <v>O</v>
      </c>
      <c r="P29" s="5" t="str">
        <f t="shared" si="47"/>
        <v>P</v>
      </c>
      <c r="Q29" s="5" t="str">
        <f t="shared" si="47"/>
        <v>Q</v>
      </c>
      <c r="R29" s="5" t="str">
        <f t="shared" si="47"/>
        <v>R</v>
      </c>
      <c r="S29" s="5" t="str">
        <f t="shared" si="47"/>
        <v>S</v>
      </c>
      <c r="T29" s="5" t="str">
        <f t="shared" si="47"/>
        <v>T</v>
      </c>
      <c r="U29" s="5" t="str">
        <f t="shared" si="47"/>
        <v>U</v>
      </c>
      <c r="V29" s="5" t="str">
        <f t="shared" si="47"/>
        <v>V</v>
      </c>
      <c r="W29" s="5" t="str">
        <f t="shared" si="47"/>
        <v>W</v>
      </c>
      <c r="X29" s="5" t="str">
        <f t="shared" si="47"/>
        <v>X</v>
      </c>
      <c r="CH29" s="6" t="str">
        <f t="shared" ref="CH29:CR29" si="48">IF(CI30=1,"LYA",CI29)</f>
        <v>LYA</v>
      </c>
      <c r="CI29" s="6" t="str">
        <f t="shared" si="48"/>
        <v>LYA</v>
      </c>
      <c r="CJ29" s="6" t="str">
        <f t="shared" si="48"/>
        <v>LYA</v>
      </c>
      <c r="CK29" s="6" t="str">
        <f t="shared" si="48"/>
        <v>LYA</v>
      </c>
      <c r="CL29" s="6" t="str">
        <f t="shared" si="48"/>
        <v>CYA</v>
      </c>
      <c r="CM29" s="6" t="str">
        <f t="shared" si="48"/>
        <v>CYA</v>
      </c>
      <c r="CN29" s="6" t="str">
        <f t="shared" si="48"/>
        <v>CYA</v>
      </c>
      <c r="CO29" s="6" t="str">
        <f t="shared" si="48"/>
        <v>CYA</v>
      </c>
      <c r="CP29" s="6" t="str">
        <f t="shared" si="48"/>
        <v>CYA</v>
      </c>
      <c r="CQ29" s="6" t="str">
        <f t="shared" si="48"/>
        <v>CYA</v>
      </c>
      <c r="CR29" s="6" t="str">
        <f t="shared" si="48"/>
        <v>CYA</v>
      </c>
      <c r="CS29" s="6" t="s">
        <v>229</v>
      </c>
      <c r="CT29" s="70"/>
      <c r="CU29" s="70"/>
      <c r="CV29" s="148"/>
      <c r="CW29" s="148"/>
      <c r="CX29" s="28"/>
      <c r="CY29" s="28"/>
      <c r="CZ29" s="28"/>
      <c r="DA29" s="28"/>
      <c r="DB29" s="28"/>
      <c r="DC29" s="28"/>
      <c r="DD29" s="28"/>
      <c r="DE29" s="28"/>
      <c r="DF29" s="28"/>
      <c r="DG29" s="28"/>
    </row>
    <row r="30" spans="1:114" ht="16.8">
      <c r="C30" s="13"/>
      <c r="E30" s="5"/>
      <c r="F30" s="23"/>
      <c r="G30" s="23"/>
      <c r="H30" s="23"/>
      <c r="I30" s="40" t="s">
        <v>91</v>
      </c>
      <c r="J30" s="3">
        <v>0</v>
      </c>
      <c r="K30" s="60"/>
      <c r="M30" s="9" t="b">
        <f t="shared" ref="M30:X30" si="49">M$21&lt;=$J$20</f>
        <v>1</v>
      </c>
      <c r="N30" s="9" t="b">
        <f t="shared" si="49"/>
        <v>1</v>
      </c>
      <c r="O30" s="9" t="b">
        <f t="shared" si="49"/>
        <v>1</v>
      </c>
      <c r="P30" s="9" t="b">
        <f t="shared" si="49"/>
        <v>1</v>
      </c>
      <c r="Q30" s="9" t="b">
        <f t="shared" si="49"/>
        <v>1</v>
      </c>
      <c r="R30" s="9" t="b">
        <f t="shared" si="49"/>
        <v>1</v>
      </c>
      <c r="S30" s="9" t="b">
        <f t="shared" si="49"/>
        <v>1</v>
      </c>
      <c r="T30" s="9" t="b">
        <f t="shared" si="49"/>
        <v>1</v>
      </c>
      <c r="U30" s="9" t="b">
        <f t="shared" si="49"/>
        <v>0</v>
      </c>
      <c r="V30" s="9" t="b">
        <f t="shared" si="49"/>
        <v>0</v>
      </c>
      <c r="W30" s="9" t="b">
        <f t="shared" si="49"/>
        <v>0</v>
      </c>
      <c r="X30" s="9" t="b">
        <f t="shared" si="49"/>
        <v>0</v>
      </c>
      <c r="CH30" s="6">
        <f t="shared" ref="CH30:CR30" si="50">IF(CI30=1,12,CI30-1)</f>
        <v>9</v>
      </c>
      <c r="CI30" s="6">
        <f t="shared" si="50"/>
        <v>10</v>
      </c>
      <c r="CJ30" s="6">
        <f t="shared" si="50"/>
        <v>11</v>
      </c>
      <c r="CK30" s="6">
        <f t="shared" si="50"/>
        <v>12</v>
      </c>
      <c r="CL30" s="6">
        <f t="shared" si="50"/>
        <v>1</v>
      </c>
      <c r="CM30" s="6">
        <f t="shared" si="50"/>
        <v>2</v>
      </c>
      <c r="CN30" s="6">
        <f t="shared" si="50"/>
        <v>3</v>
      </c>
      <c r="CO30" s="6">
        <f t="shared" si="50"/>
        <v>4</v>
      </c>
      <c r="CP30" s="6">
        <f t="shared" si="50"/>
        <v>5</v>
      </c>
      <c r="CQ30" s="6">
        <f t="shared" si="50"/>
        <v>6</v>
      </c>
      <c r="CR30" s="6">
        <f t="shared" si="50"/>
        <v>7</v>
      </c>
      <c r="CS30" s="6">
        <f>J20</f>
        <v>8</v>
      </c>
      <c r="CT30" s="70"/>
      <c r="CU30" s="70"/>
      <c r="CV30" s="148"/>
      <c r="CW30" s="148"/>
      <c r="CX30" s="28"/>
      <c r="CY30" s="28"/>
      <c r="CZ30" s="28"/>
      <c r="DA30" s="28"/>
      <c r="DB30" s="28"/>
      <c r="DC30" s="28"/>
      <c r="DD30" s="28"/>
      <c r="DE30" s="28"/>
      <c r="DF30" s="28"/>
      <c r="DG30" s="28"/>
    </row>
    <row r="31" spans="1:114" ht="16.8">
      <c r="C31" s="13"/>
      <c r="E31" s="5"/>
      <c r="F31" s="23"/>
      <c r="G31" s="23"/>
      <c r="H31" s="23"/>
      <c r="I31" s="40" t="s">
        <v>371</v>
      </c>
      <c r="J31" s="9" t="str">
        <f>IF(OR(J36="NA",J36=""),"CYFMethod",J36)</f>
        <v>CYFMethod</v>
      </c>
      <c r="K31" s="9"/>
      <c r="L31" s="9" t="s">
        <v>73</v>
      </c>
      <c r="M31" s="6">
        <f t="shared" ref="M31:Y31" si="51">COLUMN()</f>
        <v>13</v>
      </c>
      <c r="N31" s="6">
        <f t="shared" si="51"/>
        <v>14</v>
      </c>
      <c r="O31" s="6">
        <f t="shared" si="51"/>
        <v>15</v>
      </c>
      <c r="P31" s="6">
        <f t="shared" si="51"/>
        <v>16</v>
      </c>
      <c r="Q31" s="6">
        <f t="shared" si="51"/>
        <v>17</v>
      </c>
      <c r="R31" s="6">
        <f t="shared" si="51"/>
        <v>18</v>
      </c>
      <c r="S31" s="6">
        <f t="shared" si="51"/>
        <v>19</v>
      </c>
      <c r="T31" s="6">
        <f t="shared" si="51"/>
        <v>20</v>
      </c>
      <c r="U31" s="6">
        <f t="shared" si="51"/>
        <v>21</v>
      </c>
      <c r="V31" s="6">
        <f t="shared" si="51"/>
        <v>22</v>
      </c>
      <c r="W31" s="6">
        <f t="shared" si="51"/>
        <v>23</v>
      </c>
      <c r="X31" s="6">
        <f t="shared" si="51"/>
        <v>24</v>
      </c>
      <c r="Y31" s="6">
        <f t="shared" si="51"/>
        <v>25</v>
      </c>
      <c r="CT31" s="70"/>
      <c r="CU31" s="70"/>
      <c r="CV31" s="28"/>
      <c r="CW31" s="28"/>
      <c r="CX31" s="28"/>
      <c r="CY31" s="28"/>
      <c r="CZ31" s="28"/>
      <c r="DA31" s="28"/>
      <c r="DB31" s="28"/>
      <c r="DC31" s="28"/>
      <c r="DD31" s="28"/>
      <c r="DE31" s="28"/>
      <c r="DF31" s="28"/>
      <c r="DG31" s="28"/>
    </row>
    <row r="32" spans="1:114" ht="16.8">
      <c r="A32" s="5"/>
      <c r="C32" s="13"/>
      <c r="D32" s="5"/>
      <c r="E32" s="5" t="str">
        <f>"[Save2DB;"&amp;J35&amp;"]"</f>
        <v>[Save2DB;CYF2020]</v>
      </c>
      <c r="F32" s="5"/>
      <c r="G32" s="5" t="s">
        <v>420</v>
      </c>
      <c r="H32" s="5" t="s">
        <v>231</v>
      </c>
      <c r="I32" s="5"/>
      <c r="J32" s="5"/>
      <c r="K32" s="5"/>
      <c r="L32" s="5"/>
      <c r="M32" s="5" t="s">
        <v>763</v>
      </c>
      <c r="N32" s="5" t="s">
        <v>764</v>
      </c>
      <c r="O32" s="5" t="s">
        <v>765</v>
      </c>
      <c r="P32" s="5" t="s">
        <v>766</v>
      </c>
      <c r="Q32" s="5" t="s">
        <v>767</v>
      </c>
      <c r="R32" s="5" t="s">
        <v>768</v>
      </c>
      <c r="S32" s="5" t="s">
        <v>769</v>
      </c>
      <c r="T32" s="5" t="s">
        <v>770</v>
      </c>
      <c r="U32" s="5" t="s">
        <v>771</v>
      </c>
      <c r="V32" s="5" t="s">
        <v>772</v>
      </c>
      <c r="W32" s="5" t="s">
        <v>773</v>
      </c>
      <c r="X32" s="5" t="s">
        <v>774</v>
      </c>
      <c r="Y32" s="5"/>
      <c r="Z32" s="5" t="s">
        <v>318</v>
      </c>
      <c r="AA32" s="5"/>
      <c r="AB32" s="5"/>
      <c r="AC32" s="338"/>
      <c r="AD32" s="5"/>
      <c r="AE32" s="5"/>
      <c r="AF32" s="5"/>
      <c r="AG32" s="5"/>
      <c r="AH32" s="5"/>
      <c r="AI32" s="5"/>
      <c r="AJ32" s="5"/>
      <c r="AK32" s="5"/>
      <c r="AL32" s="5"/>
      <c r="AM32" s="5"/>
      <c r="AN32" s="5"/>
      <c r="AO32" s="5"/>
      <c r="AP32" s="5"/>
      <c r="AQ32" s="5"/>
      <c r="AR32" s="5"/>
      <c r="AS32" s="5"/>
      <c r="AT32" s="5"/>
      <c r="AU32" s="5"/>
      <c r="AV32" s="5"/>
      <c r="AW32" s="5"/>
      <c r="AX32" s="290"/>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28"/>
    </row>
    <row r="33" spans="1:111" ht="16.8">
      <c r="A33" s="5"/>
      <c r="C33" s="13"/>
      <c r="D33" s="5"/>
      <c r="E33" s="5" t="str">
        <f>"[Save2DB;"&amp;J35&amp;"]"</f>
        <v>[Save2DB;CYF2020]</v>
      </c>
      <c r="F33" s="5"/>
      <c r="G33" s="5" t="s">
        <v>420</v>
      </c>
      <c r="H33" s="5" t="s">
        <v>231</v>
      </c>
      <c r="I33" s="5"/>
      <c r="J33" s="5"/>
      <c r="K33" s="5"/>
      <c r="L33" s="5"/>
      <c r="M33" s="5" t="s">
        <v>855</v>
      </c>
      <c r="N33" s="5" t="s">
        <v>856</v>
      </c>
      <c r="O33" s="5" t="s">
        <v>857</v>
      </c>
      <c r="P33" s="5" t="s">
        <v>858</v>
      </c>
      <c r="Q33" s="5" t="s">
        <v>859</v>
      </c>
      <c r="R33" s="5" t="s">
        <v>860</v>
      </c>
      <c r="S33" s="5" t="s">
        <v>861</v>
      </c>
      <c r="T33" s="5" t="s">
        <v>862</v>
      </c>
      <c r="U33" s="5" t="s">
        <v>863</v>
      </c>
      <c r="V33" s="5" t="s">
        <v>864</v>
      </c>
      <c r="W33" s="5" t="s">
        <v>865</v>
      </c>
      <c r="X33" s="5" t="s">
        <v>866</v>
      </c>
      <c r="Y33" s="5"/>
      <c r="Z33" s="5" t="s">
        <v>318</v>
      </c>
      <c r="AA33" s="5"/>
      <c r="AB33" s="5"/>
      <c r="AC33" s="338"/>
      <c r="AD33" s="5"/>
      <c r="AE33" s="5"/>
      <c r="AF33" s="5"/>
      <c r="AG33" s="5"/>
      <c r="AH33" s="5"/>
      <c r="AI33" s="5"/>
      <c r="AJ33" s="5"/>
      <c r="AK33" s="5"/>
      <c r="AL33" s="5"/>
      <c r="AM33" s="5"/>
      <c r="AN33" s="5"/>
      <c r="AO33" s="5"/>
      <c r="AP33" s="5"/>
      <c r="AQ33" s="5"/>
      <c r="AR33" s="5"/>
      <c r="AS33" s="5"/>
      <c r="AT33" s="5"/>
      <c r="AU33" s="5"/>
      <c r="AV33" s="5"/>
      <c r="AW33" s="5"/>
      <c r="AX33" s="290"/>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28"/>
    </row>
    <row r="34" spans="1:111" ht="16.8">
      <c r="C34" s="13"/>
      <c r="E34" s="5"/>
      <c r="F34" s="23"/>
      <c r="G34" s="23"/>
      <c r="H34" s="23"/>
      <c r="I34" s="40" t="s">
        <v>775</v>
      </c>
      <c r="J34" s="207">
        <f>Control_Sheet!J14</f>
        <v>0</v>
      </c>
      <c r="K34" s="60"/>
      <c r="CU34" s="28"/>
      <c r="CV34" s="28"/>
      <c r="CW34" s="28"/>
      <c r="CX34" s="28"/>
      <c r="CY34" s="28"/>
      <c r="CZ34" s="28"/>
      <c r="DA34" s="28"/>
      <c r="DB34" s="28"/>
      <c r="DC34" s="28"/>
      <c r="DD34" s="28"/>
      <c r="DE34" s="28"/>
      <c r="DF34" s="28"/>
      <c r="DG34" s="28"/>
    </row>
    <row r="35" spans="1:111" ht="16.8">
      <c r="C35" s="13"/>
      <c r="E35" s="5"/>
      <c r="F35" s="23"/>
      <c r="G35" s="23"/>
      <c r="H35" s="23"/>
      <c r="I35" s="40" t="s">
        <v>201</v>
      </c>
      <c r="J35" s="5" t="str">
        <f>Variables!I46</f>
        <v>CYF2020</v>
      </c>
      <c r="K35" s="60"/>
      <c r="CU35" s="28"/>
      <c r="CV35" s="28"/>
      <c r="CW35" s="28"/>
      <c r="CX35" s="28"/>
      <c r="CY35" s="28"/>
      <c r="CZ35" s="28"/>
      <c r="DA35" s="28"/>
      <c r="DB35" s="28"/>
      <c r="DC35" s="28"/>
      <c r="DD35" s="28"/>
      <c r="DE35" s="28"/>
      <c r="DF35" s="28"/>
      <c r="DG35" s="28"/>
    </row>
    <row r="36" spans="1:111" ht="16.8">
      <c r="C36" s="13"/>
      <c r="E36" s="5"/>
      <c r="F36" s="23"/>
      <c r="G36" s="23"/>
      <c r="H36" s="23"/>
      <c r="I36" s="40" t="s">
        <v>704</v>
      </c>
      <c r="J36" s="9" t="str" cm="1">
        <f t="array" ref="J36">_xll.GetData("Dept.CYFDimGrp", "DEPT = "&amp;$J$19, ,,,"CYFMethod")</f>
        <v>CYFMethod</v>
      </c>
      <c r="CU36" s="28"/>
      <c r="CV36" s="28"/>
      <c r="CW36" s="28"/>
      <c r="CX36" s="28"/>
      <c r="CY36" s="28"/>
      <c r="CZ36" s="28"/>
      <c r="DA36" s="28"/>
      <c r="DB36" s="28"/>
      <c r="DC36" s="28"/>
      <c r="DD36" s="28"/>
      <c r="DE36" s="28"/>
      <c r="DF36" s="28"/>
      <c r="DG36" s="28"/>
    </row>
    <row r="37" spans="1:111" ht="16.8">
      <c r="C37" s="13"/>
      <c r="E37" s="5"/>
      <c r="I37" s="40" t="s">
        <v>843</v>
      </c>
      <c r="K37" s="60"/>
      <c r="L37" s="6"/>
      <c r="M37" s="294">
        <f t="shared" ref="M37:X37" ca="1" si="52">SUMIF($K$48:$L$122,"IPRev",M$48:M$122)+SUMIF($K$48:$L$122,"OPRev",M$48:M$122)+SUMIF($K$48:$L$122,"OthReTv",M$48:M$122)</f>
        <v>0</v>
      </c>
      <c r="N37" s="294">
        <f t="shared" ca="1" si="52"/>
        <v>0</v>
      </c>
      <c r="O37" s="294">
        <f t="shared" ca="1" si="52"/>
        <v>0</v>
      </c>
      <c r="P37" s="294">
        <f t="shared" ca="1" si="52"/>
        <v>0</v>
      </c>
      <c r="Q37" s="294">
        <f t="shared" ca="1" si="52"/>
        <v>0</v>
      </c>
      <c r="R37" s="294">
        <f t="shared" ca="1" si="52"/>
        <v>0</v>
      </c>
      <c r="S37" s="294">
        <f t="shared" ca="1" si="52"/>
        <v>0</v>
      </c>
      <c r="T37" s="294">
        <f t="shared" ca="1" si="52"/>
        <v>0</v>
      </c>
      <c r="U37" s="294">
        <f t="shared" ca="1" si="52"/>
        <v>0</v>
      </c>
      <c r="V37" s="294">
        <f t="shared" ca="1" si="52"/>
        <v>0</v>
      </c>
      <c r="W37" s="294">
        <f t="shared" ca="1" si="52"/>
        <v>0</v>
      </c>
      <c r="X37" s="294">
        <f t="shared" ca="1" si="52"/>
        <v>0</v>
      </c>
      <c r="Y37" s="295">
        <f t="shared" ref="Y37" ca="1" si="53">SUM(M37:X37)</f>
        <v>0</v>
      </c>
      <c r="AD37" s="401">
        <f t="shared" ref="AD37" ca="1" si="54">AO37</f>
        <v>0</v>
      </c>
      <c r="AE37" s="401">
        <f t="shared" ref="AE37" ca="1" si="55">AP37</f>
        <v>0</v>
      </c>
      <c r="AF37" s="401">
        <f t="shared" ref="AF37" ca="1" si="56">AQ37</f>
        <v>0</v>
      </c>
      <c r="AG37" s="401">
        <f t="shared" ref="AG37" ca="1" si="57">AU37</f>
        <v>0</v>
      </c>
      <c r="AN37" s="366">
        <f t="shared" ref="AN37:BU37" ca="1" si="58">SUMIF($K$48:$L$122,"IPRev",AN$48:AN$122)+SUMIF($K$48:$L$122,"OPRev",AN$48:AN$122)+SUMIF($K$48:$L$122,"OthReTv",AN$48:AN$122)</f>
        <v>0</v>
      </c>
      <c r="AO37" s="366">
        <f t="shared" ca="1" si="58"/>
        <v>0</v>
      </c>
      <c r="AP37" s="366">
        <f t="shared" ca="1" si="58"/>
        <v>0</v>
      </c>
      <c r="AQ37" s="386">
        <f t="shared" ca="1" si="58"/>
        <v>0</v>
      </c>
      <c r="AR37" s="357">
        <f t="shared" ca="1" si="58"/>
        <v>0</v>
      </c>
      <c r="AS37" s="357">
        <f t="shared" ca="1" si="58"/>
        <v>0</v>
      </c>
      <c r="AT37" s="357">
        <f t="shared" ca="1" si="58"/>
        <v>0</v>
      </c>
      <c r="AU37" s="366">
        <f t="shared" ca="1" si="58"/>
        <v>0</v>
      </c>
      <c r="AV37" s="366">
        <f t="shared" ca="1" si="58"/>
        <v>0</v>
      </c>
      <c r="AW37" s="366">
        <f t="shared" ca="1" si="58"/>
        <v>0</v>
      </c>
      <c r="AX37" s="329">
        <f t="shared" ca="1" si="58"/>
        <v>0</v>
      </c>
      <c r="AY37" s="330">
        <f t="shared" ca="1" si="58"/>
        <v>0</v>
      </c>
      <c r="AZ37" s="330">
        <f t="shared" ca="1" si="58"/>
        <v>0</v>
      </c>
      <c r="BA37" s="330">
        <f t="shared" ca="1" si="58"/>
        <v>0</v>
      </c>
      <c r="BB37" s="330">
        <f t="shared" ca="1" si="58"/>
        <v>0</v>
      </c>
      <c r="BC37" s="330">
        <f t="shared" ca="1" si="58"/>
        <v>0</v>
      </c>
      <c r="BD37" s="330">
        <f t="shared" ca="1" si="58"/>
        <v>0</v>
      </c>
      <c r="BE37" s="330">
        <f t="shared" ca="1" si="58"/>
        <v>0</v>
      </c>
      <c r="BF37" s="330">
        <f t="shared" ca="1" si="58"/>
        <v>0</v>
      </c>
      <c r="BG37" s="330">
        <f t="shared" ca="1" si="58"/>
        <v>0</v>
      </c>
      <c r="BH37" s="330">
        <f t="shared" ca="1" si="58"/>
        <v>0</v>
      </c>
      <c r="BI37" s="330">
        <f t="shared" ca="1" si="58"/>
        <v>0</v>
      </c>
      <c r="BJ37" s="294">
        <f t="shared" ca="1" si="58"/>
        <v>0</v>
      </c>
      <c r="BK37" s="294">
        <f t="shared" ca="1" si="58"/>
        <v>0</v>
      </c>
      <c r="BL37" s="294">
        <f t="shared" ca="1" si="58"/>
        <v>0</v>
      </c>
      <c r="BM37" s="294">
        <f t="shared" ca="1" si="58"/>
        <v>0</v>
      </c>
      <c r="BN37" s="294">
        <f t="shared" ca="1" si="58"/>
        <v>0</v>
      </c>
      <c r="BO37" s="294">
        <f t="shared" ca="1" si="58"/>
        <v>0</v>
      </c>
      <c r="BP37" s="294">
        <f t="shared" ca="1" si="58"/>
        <v>0</v>
      </c>
      <c r="BQ37" s="294">
        <f t="shared" ca="1" si="58"/>
        <v>0</v>
      </c>
      <c r="BR37" s="294">
        <f t="shared" ca="1" si="58"/>
        <v>0</v>
      </c>
      <c r="BS37" s="294">
        <f t="shared" ca="1" si="58"/>
        <v>0</v>
      </c>
      <c r="BT37" s="294">
        <f t="shared" ca="1" si="58"/>
        <v>0</v>
      </c>
      <c r="BU37" s="294">
        <f t="shared" ca="1" si="58"/>
        <v>0</v>
      </c>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148"/>
      <c r="CT37" s="148"/>
      <c r="CU37" s="148"/>
      <c r="CV37" s="148"/>
      <c r="CW37" s="148"/>
      <c r="CX37" s="28"/>
      <c r="CY37" s="28"/>
      <c r="CZ37" s="28"/>
      <c r="DA37" s="28"/>
      <c r="DB37" s="28"/>
      <c r="DC37" s="28"/>
      <c r="DD37" s="28"/>
      <c r="DE37" s="28"/>
      <c r="DF37" s="28"/>
      <c r="DG37" s="28"/>
    </row>
    <row r="38" spans="1:111" ht="16.8">
      <c r="C38" s="13"/>
      <c r="D38" s="28"/>
      <c r="E38" s="5"/>
      <c r="F38" s="23"/>
      <c r="G38" s="23"/>
      <c r="H38" s="23"/>
      <c r="I38" s="60"/>
      <c r="K38" s="60"/>
      <c r="CU38" s="28"/>
      <c r="CV38" s="28"/>
      <c r="CW38" s="28"/>
      <c r="CX38" s="28"/>
      <c r="CY38" s="28"/>
      <c r="CZ38" s="28"/>
      <c r="DA38" s="28"/>
      <c r="DB38" s="28"/>
      <c r="DC38" s="28"/>
      <c r="DD38" s="28"/>
      <c r="DE38" s="28"/>
      <c r="DF38" s="28"/>
      <c r="DG38" s="28"/>
    </row>
    <row r="39" spans="1:111" ht="16.8">
      <c r="C39" s="13"/>
      <c r="D39" s="28"/>
      <c r="E39" s="5"/>
      <c r="F39" s="23"/>
      <c r="G39" s="23"/>
      <c r="H39" s="23"/>
      <c r="I39" s="60"/>
      <c r="K39" s="60"/>
      <c r="CU39" s="28"/>
      <c r="CV39" s="28"/>
      <c r="CW39" s="28"/>
      <c r="CX39" s="28"/>
      <c r="CY39" s="28"/>
      <c r="CZ39" s="28"/>
      <c r="DA39" s="28"/>
      <c r="DB39" s="28"/>
      <c r="DC39" s="28"/>
      <c r="DD39" s="28"/>
      <c r="DE39" s="28"/>
      <c r="DF39" s="28"/>
      <c r="DG39" s="28"/>
    </row>
    <row r="40" spans="1:111" ht="16.8">
      <c r="C40" s="13"/>
      <c r="D40" s="28"/>
      <c r="E40" s="5"/>
      <c r="F40" s="23"/>
      <c r="G40" s="23"/>
      <c r="H40" s="23"/>
      <c r="K40" s="60"/>
      <c r="CU40" s="28"/>
      <c r="CV40" s="28"/>
      <c r="CW40" s="28"/>
      <c r="CX40" s="28"/>
      <c r="CY40" s="28"/>
      <c r="CZ40" s="28"/>
      <c r="DA40" s="28"/>
      <c r="DB40" s="28"/>
      <c r="DC40" s="28"/>
      <c r="DD40" s="28"/>
      <c r="DE40" s="28"/>
      <c r="DF40" s="28"/>
      <c r="DG40" s="28"/>
    </row>
    <row r="41" spans="1:111" ht="16.8">
      <c r="C41" s="13"/>
      <c r="D41" s="28"/>
      <c r="E41" s="5"/>
      <c r="F41" s="23"/>
      <c r="G41" s="23"/>
      <c r="H41" s="23"/>
      <c r="K41" s="60"/>
      <c r="CU41" s="28"/>
      <c r="CV41" s="28"/>
      <c r="CW41" s="28"/>
      <c r="CX41" s="28"/>
      <c r="CY41" s="28"/>
      <c r="CZ41" s="28"/>
      <c r="DA41" s="28"/>
      <c r="DB41" s="28"/>
      <c r="DC41" s="28"/>
      <c r="DD41" s="28"/>
      <c r="DE41" s="28"/>
      <c r="DF41" s="28"/>
      <c r="DG41" s="28"/>
    </row>
    <row r="42" spans="1:111" ht="16.8">
      <c r="C42" s="13"/>
      <c r="D42" s="28"/>
      <c r="E42" s="5"/>
      <c r="F42" s="23"/>
      <c r="G42" s="23"/>
      <c r="H42" s="23"/>
      <c r="K42" s="60"/>
      <c r="CU42" s="28"/>
      <c r="CV42" s="28"/>
      <c r="CW42" s="28"/>
      <c r="CX42" s="28"/>
      <c r="CY42" s="28"/>
      <c r="CZ42" s="28"/>
      <c r="DA42" s="28"/>
      <c r="DB42" s="28"/>
      <c r="DC42" s="28"/>
      <c r="DD42" s="28"/>
      <c r="DE42" s="28"/>
      <c r="DF42" s="28"/>
      <c r="DG42" s="28"/>
    </row>
    <row r="43" spans="1:111" s="28" customFormat="1" ht="32.4">
      <c r="A43" s="34"/>
      <c r="B43" s="60"/>
      <c r="C43" s="13"/>
      <c r="E43" s="5"/>
      <c r="F43" s="132"/>
      <c r="G43" s="30" t="s">
        <v>478</v>
      </c>
      <c r="H43" s="30"/>
      <c r="I43" s="30"/>
      <c r="J43" s="30"/>
      <c r="K43" s="30"/>
      <c r="L43" s="30"/>
      <c r="M43" s="30"/>
      <c r="N43" s="30"/>
      <c r="O43" s="30"/>
      <c r="P43" s="30"/>
      <c r="Q43" s="30"/>
      <c r="R43" s="30"/>
      <c r="S43" s="30"/>
      <c r="T43" s="30"/>
      <c r="U43" s="30"/>
      <c r="V43" s="30"/>
      <c r="W43" s="170"/>
      <c r="X43" s="30"/>
      <c r="Y43" s="30"/>
      <c r="Z43" s="433"/>
      <c r="AA43" s="332"/>
      <c r="AB43" s="332"/>
      <c r="AC43" s="344"/>
      <c r="AD43" s="332" t="s">
        <v>233</v>
      </c>
      <c r="AE43" s="332" t="s">
        <v>360</v>
      </c>
      <c r="AF43" s="332" t="s">
        <v>720</v>
      </c>
      <c r="AG43" s="332" t="s">
        <v>468</v>
      </c>
      <c r="AH43" s="332"/>
      <c r="AI43" s="332"/>
      <c r="AJ43" s="332"/>
      <c r="AK43" s="332"/>
      <c r="AL43" s="332"/>
      <c r="AM43" s="332"/>
      <c r="AN43" s="367"/>
      <c r="AO43" s="367"/>
      <c r="AP43" s="367"/>
      <c r="AQ43" s="387"/>
      <c r="AR43" s="358"/>
      <c r="AS43" s="358"/>
      <c r="AT43" s="358"/>
      <c r="AU43" s="367"/>
      <c r="AV43" s="367"/>
      <c r="AW43" s="367"/>
      <c r="AX43" s="290" t="str" cm="1">
        <f t="array" ref="AX43">_xll.GetData("Period.CY_Month", "Code = "&amp;AX21)</f>
        <v>Jul-2019</v>
      </c>
      <c r="AY43" s="5" t="str" cm="1">
        <f t="array" ref="AY43">_xll.GetData("Period.CY_Month", "Code = "&amp;AY21)</f>
        <v>Aug-2019</v>
      </c>
      <c r="AZ43" s="5" t="str" cm="1">
        <f t="array" ref="AZ43">_xll.GetData("Period.CY_Month", "Code = "&amp;AZ21)</f>
        <v>Sep-2019</v>
      </c>
      <c r="BA43" s="5" t="str" cm="1">
        <f t="array" ref="BA43">_xll.GetData("Period.CY_Month", "Code = "&amp;BA21)</f>
        <v>Oct-2019</v>
      </c>
      <c r="BB43" s="5" t="str" cm="1">
        <f t="array" ref="BB43">_xll.GetData("Period.CY_Month", "Code = "&amp;BB21)</f>
        <v>Nov-2019</v>
      </c>
      <c r="BC43" s="5" t="str" cm="1">
        <f t="array" ref="BC43">_xll.GetData("Period.CY_Month", "Code = "&amp;BC21)</f>
        <v>Dec-2019</v>
      </c>
      <c r="BD43" s="5" t="str" cm="1">
        <f t="array" ref="BD43">_xll.GetData("Period.CY_Month", "Code = "&amp;BD21)</f>
        <v>Jan-2020</v>
      </c>
      <c r="BE43" s="5" t="str" cm="1">
        <f t="array" ref="BE43">_xll.GetData("Period.CY_Month", "Code = "&amp;BE21)</f>
        <v>Feb-2020</v>
      </c>
      <c r="BF43" s="5" t="str" cm="1">
        <f t="array" ref="BF43">_xll.GetData("Period.CY_Month", "Code = "&amp;BF21)</f>
        <v>Mar-2020</v>
      </c>
      <c r="BG43" s="5" t="str" cm="1">
        <f t="array" ref="BG43">_xll.GetData("Period.CY_Month", "Code = "&amp;BG21)</f>
        <v>Apr-2020</v>
      </c>
      <c r="BH43" s="5" t="str" cm="1">
        <f t="array" ref="BH43">_xll.GetData("Period.CY_Month", "Code = "&amp;BH21)</f>
        <v>May-2020</v>
      </c>
      <c r="BI43" s="5" t="str" cm="1">
        <f t="array" ref="BI43">_xll.GetData("Period.CY_Month", "Code = "&amp;BI21)</f>
        <v>Jun-2020</v>
      </c>
      <c r="BJ43" s="5"/>
      <c r="BK43" s="5"/>
      <c r="BL43" s="5"/>
      <c r="BM43" s="5"/>
      <c r="BN43" s="5"/>
      <c r="BO43" s="5"/>
      <c r="BP43" s="5"/>
      <c r="BQ43" s="5"/>
      <c r="BR43" s="5"/>
      <c r="BS43" s="5"/>
      <c r="BT43" s="5"/>
      <c r="BU43" s="5"/>
      <c r="BV43" s="5" t="str" cm="1">
        <f t="array" ref="BV43">_xll.GetData("Period.lY_Month","Code = "&amp;BV21)</f>
        <v>Jul-2018</v>
      </c>
      <c r="BW43" s="5" t="str" cm="1">
        <f t="array" ref="BW43">_xll.GetData("Period.lY_Month","Code = "&amp;BW21)</f>
        <v>Aug-2018</v>
      </c>
      <c r="BX43" s="5" t="str" cm="1">
        <f t="array" ref="BX43">_xll.GetData("Period.lY_Month","Code = "&amp;BX21)</f>
        <v>Sep-2018</v>
      </c>
      <c r="BY43" s="5" t="str" cm="1">
        <f t="array" ref="BY43">_xll.GetData("Period.lY_Month","Code = "&amp;BY21)</f>
        <v>Oct-2018</v>
      </c>
      <c r="BZ43" s="5" t="str" cm="1">
        <f t="array" ref="BZ43">_xll.GetData("Period.lY_Month","Code = "&amp;BZ21)</f>
        <v>Nov-2018</v>
      </c>
      <c r="CA43" s="5" t="str" cm="1">
        <f t="array" ref="CA43">_xll.GetData("Period.lY_Month","Code = "&amp;CA21)</f>
        <v>Dec-2018</v>
      </c>
      <c r="CB43" s="5" t="str" cm="1">
        <f t="array" ref="CB43">_xll.GetData("Period.lY_Month","Code = "&amp;CB21)</f>
        <v>Jan-2019</v>
      </c>
      <c r="CC43" s="5" t="str" cm="1">
        <f t="array" ref="CC43">_xll.GetData("Period.lY_Month","Code = "&amp;CC21)</f>
        <v>Feb-2019</v>
      </c>
      <c r="CD43" s="5" t="str" cm="1">
        <f t="array" ref="CD43">_xll.GetData("Period.lY_Month","Code = "&amp;CD21)</f>
        <v>Mar-2019</v>
      </c>
      <c r="CE43" s="5" t="str" cm="1">
        <f t="array" ref="CE43">_xll.GetData("Period.lY_Month","Code = "&amp;CE21)</f>
        <v>Apr-2019</v>
      </c>
      <c r="CF43" s="5" t="str" cm="1">
        <f t="array" ref="CF43">_xll.GetData("Period.lY_Month","Code = "&amp;CF21)</f>
        <v>May-2019</v>
      </c>
      <c r="CG43" s="5" t="str" cm="1">
        <f t="array" ref="CG43">_xll.GetData("Period.lY_Month","Code = "&amp;CG21)</f>
        <v>Jun-2019</v>
      </c>
      <c r="CH43" s="5" t="str" cm="1">
        <f t="array" ref="CH43">_xll.GetData("Period.CY_Month","Code = "&amp;CH21)</f>
        <v>Jul-2019</v>
      </c>
      <c r="CI43" s="5" t="str" cm="1">
        <f t="array" ref="CI43">_xll.GetData("Period.CY_Month","Code = "&amp;CI21)</f>
        <v>Aug-2019</v>
      </c>
      <c r="CJ43" s="5" t="str" cm="1">
        <f t="array" ref="CJ43">_xll.GetData("Period.CY_Month","Code = "&amp;CJ21)</f>
        <v>Sep-2019</v>
      </c>
      <c r="CK43" s="5" t="str" cm="1">
        <f t="array" ref="CK43">_xll.GetData("Period.CY_Month","Code = "&amp;CK21)</f>
        <v>Oct-2019</v>
      </c>
      <c r="CL43" s="5" t="str" cm="1">
        <f t="array" ref="CL43">_xll.GetData("Period.CY_Month","Code = "&amp;CL21)</f>
        <v>Nov-2019</v>
      </c>
      <c r="CM43" s="5" t="str" cm="1">
        <f t="array" ref="CM43">_xll.GetData("Period.CY_Month","Code = "&amp;CM21)</f>
        <v>Dec-2019</v>
      </c>
      <c r="CN43" s="5" t="str" cm="1">
        <f t="array" ref="CN43">_xll.GetData("Period.CY_Month","Code = "&amp;CN21)</f>
        <v>Jan-2020</v>
      </c>
      <c r="CO43" s="5" t="str" cm="1">
        <f t="array" ref="CO43">_xll.GetData("Period.CY_Month","Code = "&amp;CO21)</f>
        <v>Feb-2020</v>
      </c>
      <c r="CP43" s="5" t="str" cm="1">
        <f t="array" ref="CP43">_xll.GetData("Period.CY_Month","Code = "&amp;CP21)</f>
        <v>Mar-2020</v>
      </c>
      <c r="CQ43" s="5" t="str" cm="1">
        <f t="array" ref="CQ43">_xll.GetData("Period.CY_Month","Code = "&amp;CQ21)</f>
        <v>Apr-2020</v>
      </c>
      <c r="CR43" s="5" t="str" cm="1">
        <f t="array" ref="CR43">_xll.GetData("Period.CY_Month","Code = "&amp;CR21)</f>
        <v>May-2020</v>
      </c>
      <c r="CS43" s="5" t="str" cm="1">
        <f t="array" ref="CS43">_xll.GetData("Period.CY_Month","Code = "&amp;CS21)</f>
        <v>Jun-2020</v>
      </c>
      <c r="CT43" s="5" t="s">
        <v>232</v>
      </c>
      <c r="CU43" s="5" t="s">
        <v>784</v>
      </c>
      <c r="CV43" s="5" t="s">
        <v>340</v>
      </c>
      <c r="CW43" s="5" t="s">
        <v>785</v>
      </c>
      <c r="CX43" s="5" t="s">
        <v>13</v>
      </c>
      <c r="CY43" s="5" t="s">
        <v>786</v>
      </c>
      <c r="CZ43" s="5" t="s">
        <v>341</v>
      </c>
      <c r="DA43" s="5" t="s">
        <v>500</v>
      </c>
      <c r="DB43" s="5" t="s">
        <v>14</v>
      </c>
      <c r="DC43" s="5" t="s">
        <v>172</v>
      </c>
      <c r="DD43" s="5" t="s">
        <v>582</v>
      </c>
      <c r="DE43" s="5" t="s">
        <v>87</v>
      </c>
      <c r="DF43" s="5" t="s">
        <v>266</v>
      </c>
    </row>
    <row r="44" spans="1:111" s="28" customFormat="1" ht="19.2">
      <c r="A44" s="34"/>
      <c r="B44" s="60"/>
      <c r="C44" s="13"/>
      <c r="E44" s="5"/>
      <c r="F44" s="132"/>
      <c r="G44" s="122" t="str">
        <f>Variables!I19</f>
        <v>KHA Health</v>
      </c>
      <c r="H44" s="122"/>
      <c r="I44" s="122"/>
      <c r="J44" s="124"/>
      <c r="K44" s="124"/>
      <c r="L44" s="124"/>
      <c r="M44" s="34"/>
      <c r="N44" s="34"/>
      <c r="O44" s="34"/>
      <c r="P44" s="34"/>
      <c r="Q44" s="34"/>
      <c r="R44" s="34"/>
      <c r="S44" s="34"/>
      <c r="T44" s="34"/>
      <c r="U44" s="34"/>
      <c r="V44" s="34"/>
      <c r="W44" s="34"/>
      <c r="X44" s="34"/>
      <c r="Y44" s="34"/>
      <c r="Z44" s="433"/>
      <c r="AA44" s="332"/>
      <c r="AB44" s="332"/>
      <c r="AC44" s="344" t="s">
        <v>714</v>
      </c>
      <c r="AD44" s="332" t="s">
        <v>151</v>
      </c>
      <c r="AE44" s="332" t="s">
        <v>701</v>
      </c>
      <c r="AF44" s="332" t="s">
        <v>721</v>
      </c>
      <c r="AG44" s="332" t="s">
        <v>507</v>
      </c>
      <c r="AH44" s="332"/>
      <c r="AI44" s="332"/>
      <c r="AJ44" s="332"/>
      <c r="AK44" s="332"/>
      <c r="AL44" s="332"/>
      <c r="AM44" s="332"/>
      <c r="AN44" s="367"/>
      <c r="AO44" s="367"/>
      <c r="AP44" s="367"/>
      <c r="AQ44" s="387"/>
      <c r="AR44" s="358"/>
      <c r="AS44" s="358"/>
      <c r="AT44" s="358"/>
      <c r="AU44" s="367"/>
      <c r="AV44" s="367"/>
      <c r="AW44" s="367"/>
      <c r="AX44" s="290"/>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t="s">
        <v>455</v>
      </c>
      <c r="CI44" s="5"/>
      <c r="CJ44" s="5"/>
      <c r="CK44" s="5"/>
      <c r="CL44" s="5"/>
      <c r="CM44" s="5"/>
      <c r="CN44" s="5"/>
      <c r="CO44" s="5"/>
      <c r="CP44" s="5"/>
      <c r="CQ44" s="5"/>
      <c r="CR44" s="5"/>
      <c r="CS44" s="5"/>
      <c r="CT44" s="5" t="s">
        <v>800</v>
      </c>
      <c r="CU44" s="5" t="s">
        <v>789</v>
      </c>
      <c r="CV44" s="5" t="s">
        <v>790</v>
      </c>
      <c r="CW44" s="5" t="s">
        <v>791</v>
      </c>
      <c r="CX44" s="5" t="s">
        <v>792</v>
      </c>
      <c r="CY44" s="5" t="s">
        <v>793</v>
      </c>
      <c r="CZ44" s="5" t="s">
        <v>794</v>
      </c>
      <c r="DA44" s="5" t="s">
        <v>795</v>
      </c>
      <c r="DB44" s="5" t="s">
        <v>799</v>
      </c>
      <c r="DC44" s="5" t="s">
        <v>796</v>
      </c>
      <c r="DD44" s="5" t="s">
        <v>797</v>
      </c>
      <c r="DE44" s="5" t="s">
        <v>798</v>
      </c>
      <c r="DF44" s="5" t="s">
        <v>846</v>
      </c>
    </row>
    <row r="45" spans="1:111" s="28" customFormat="1" ht="19.2">
      <c r="A45" s="34"/>
      <c r="B45" s="60"/>
      <c r="C45" s="13"/>
      <c r="D45" s="205"/>
      <c r="E45" s="5"/>
      <c r="F45" s="198"/>
      <c r="G45" s="122" t="str">
        <f>"For The "&amp;Variables!I21</f>
        <v>For The Period Ending February 29, 2020</v>
      </c>
      <c r="H45" s="122"/>
      <c r="I45" s="122"/>
      <c r="J45" s="124"/>
      <c r="K45" s="124"/>
      <c r="L45" s="124"/>
      <c r="M45" s="34"/>
      <c r="N45" s="34"/>
      <c r="O45" s="34"/>
      <c r="P45" s="34"/>
      <c r="Q45" s="34"/>
      <c r="R45" s="34"/>
      <c r="S45" s="34"/>
      <c r="T45" s="34"/>
      <c r="U45" s="34"/>
      <c r="V45" s="34"/>
      <c r="W45" s="34"/>
      <c r="X45" s="34"/>
      <c r="Y45" s="34"/>
      <c r="Z45" s="433"/>
      <c r="AA45" s="332"/>
      <c r="AB45" s="332"/>
      <c r="AC45" s="344" t="s">
        <v>715</v>
      </c>
      <c r="AD45" s="332" t="s">
        <v>544</v>
      </c>
      <c r="AE45" s="332" t="s">
        <v>544</v>
      </c>
      <c r="AF45" s="332" t="s">
        <v>544</v>
      </c>
      <c r="AG45" s="332" t="s">
        <v>544</v>
      </c>
      <c r="AH45" s="332" t="s">
        <v>357</v>
      </c>
      <c r="AI45" s="332" t="s">
        <v>92</v>
      </c>
      <c r="AJ45" s="332" t="s">
        <v>662</v>
      </c>
      <c r="AK45" s="332"/>
      <c r="AL45" s="332"/>
      <c r="AM45" s="332" t="str">
        <f>"BUDGET"&amp;Variables!I16&amp;"_StatAcct"</f>
        <v>BUDGET2020_StatAcct</v>
      </c>
      <c r="AN45" s="367"/>
      <c r="AO45" s="367"/>
      <c r="AP45" s="367"/>
      <c r="AQ45" s="387"/>
      <c r="AR45" s="358"/>
      <c r="AS45" s="358"/>
      <c r="AT45" s="358"/>
      <c r="AU45" s="367"/>
      <c r="AV45" s="367"/>
      <c r="AW45" s="367"/>
      <c r="AX45" s="290"/>
      <c r="AY45" s="5"/>
      <c r="AZ45" s="5"/>
      <c r="BA45" s="5"/>
      <c r="BB45" s="5"/>
      <c r="BC45" s="5"/>
      <c r="BD45" s="5"/>
      <c r="BE45" s="5"/>
      <c r="BF45" s="5"/>
      <c r="BG45" s="5"/>
      <c r="BH45" s="5"/>
      <c r="BI45" s="5"/>
      <c r="BJ45" s="5"/>
      <c r="BK45" s="5"/>
      <c r="BL45" s="5"/>
      <c r="BM45" s="5"/>
      <c r="BN45" s="5"/>
      <c r="BO45" s="5"/>
      <c r="BP45" s="5"/>
      <c r="BQ45" s="5"/>
      <c r="BR45" s="5"/>
      <c r="BS45" s="5"/>
      <c r="BT45" s="5"/>
      <c r="BU45" s="5"/>
      <c r="BV45" s="5"/>
      <c r="BW45" s="5" t="str">
        <f t="shared" ref="BW45:CS45" si="59">SUBSTITUTE(ADDRESS(1,COLUMN(),4),"1","")</f>
        <v>BW</v>
      </c>
      <c r="BX45" s="5" t="str">
        <f t="shared" si="59"/>
        <v>BX</v>
      </c>
      <c r="BY45" s="5" t="str">
        <f t="shared" si="59"/>
        <v>BY</v>
      </c>
      <c r="BZ45" s="5" t="str">
        <f t="shared" si="59"/>
        <v>BZ</v>
      </c>
      <c r="CA45" s="5" t="str">
        <f t="shared" si="59"/>
        <v>CA</v>
      </c>
      <c r="CB45" s="5" t="str">
        <f t="shared" si="59"/>
        <v>CB</v>
      </c>
      <c r="CC45" s="5" t="str">
        <f t="shared" si="59"/>
        <v>CC</v>
      </c>
      <c r="CD45" s="5" t="str">
        <f t="shared" si="59"/>
        <v>CD</v>
      </c>
      <c r="CE45" s="5" t="str">
        <f t="shared" si="59"/>
        <v>CE</v>
      </c>
      <c r="CF45" s="5" t="str">
        <f t="shared" si="59"/>
        <v>CF</v>
      </c>
      <c r="CG45" s="5" t="str">
        <f t="shared" si="59"/>
        <v>CG</v>
      </c>
      <c r="CH45" s="5" t="str">
        <f t="shared" si="59"/>
        <v>CH</v>
      </c>
      <c r="CI45" s="5" t="str">
        <f t="shared" si="59"/>
        <v>CI</v>
      </c>
      <c r="CJ45" s="5" t="str">
        <f t="shared" si="59"/>
        <v>CJ</v>
      </c>
      <c r="CK45" s="5" t="str">
        <f t="shared" si="59"/>
        <v>CK</v>
      </c>
      <c r="CL45" s="5" t="str">
        <f t="shared" si="59"/>
        <v>CL</v>
      </c>
      <c r="CM45" s="5" t="str">
        <f t="shared" si="59"/>
        <v>CM</v>
      </c>
      <c r="CN45" s="5" t="str">
        <f t="shared" si="59"/>
        <v>CN</v>
      </c>
      <c r="CO45" s="5" t="str">
        <f t="shared" si="59"/>
        <v>CO</v>
      </c>
      <c r="CP45" s="5" t="str">
        <f t="shared" si="59"/>
        <v>CP</v>
      </c>
      <c r="CQ45" s="5" t="str">
        <f t="shared" si="59"/>
        <v>CQ</v>
      </c>
      <c r="CR45" s="5" t="str">
        <f t="shared" si="59"/>
        <v>CR</v>
      </c>
      <c r="CS45" s="5" t="str">
        <f t="shared" si="59"/>
        <v>CS</v>
      </c>
      <c r="CT45" s="5"/>
      <c r="CU45" s="5"/>
      <c r="CV45" s="5"/>
      <c r="CW45" s="5"/>
      <c r="CX45" s="5"/>
      <c r="CY45" s="5"/>
      <c r="CZ45" s="5"/>
      <c r="DA45" s="5"/>
      <c r="DB45" s="5"/>
      <c r="DC45" s="5"/>
      <c r="DD45" s="5"/>
      <c r="DE45" s="5"/>
      <c r="DF45" s="5"/>
    </row>
    <row r="46" spans="1:111" s="28" customFormat="1" ht="19.2">
      <c r="A46" s="34"/>
      <c r="B46" s="60"/>
      <c r="C46" s="13"/>
      <c r="D46" s="205"/>
      <c r="E46" s="5"/>
      <c r="F46" s="198"/>
      <c r="G46" s="453" t="str" cm="1">
        <f t="array" ref="G46">IF(Variables!I34="","",Variables!I34&amp;("-"&amp;_xll.GetData("Dept.Description","Dept = "&amp;Variables!I34)))</f>
        <v/>
      </c>
      <c r="H46" s="122"/>
      <c r="I46" s="122"/>
      <c r="K46" s="124"/>
      <c r="L46" s="124"/>
      <c r="M46" s="34"/>
      <c r="N46" s="34"/>
      <c r="O46" s="34"/>
      <c r="P46" s="34"/>
      <c r="Q46" s="34"/>
      <c r="R46" s="34"/>
      <c r="S46" s="34"/>
      <c r="T46" s="34"/>
      <c r="U46" s="34"/>
      <c r="V46" s="34"/>
      <c r="W46" s="34"/>
      <c r="X46" s="34"/>
      <c r="Y46" s="34"/>
      <c r="Z46" s="433"/>
      <c r="AA46" s="332"/>
      <c r="AB46" s="332"/>
      <c r="AC46" s="344" t="s">
        <v>758</v>
      </c>
      <c r="AD46" s="332" t="s">
        <v>757</v>
      </c>
      <c r="AE46" s="332" t="s">
        <v>876</v>
      </c>
      <c r="AF46" s="332" t="s">
        <v>877</v>
      </c>
      <c r="AG46" s="332" t="s">
        <v>878</v>
      </c>
      <c r="AH46" s="332"/>
      <c r="AI46" s="332"/>
      <c r="AJ46" s="332"/>
      <c r="AK46" s="332"/>
      <c r="AL46" s="332"/>
      <c r="AM46" s="332"/>
      <c r="AN46" s="367"/>
      <c r="AO46" s="367"/>
      <c r="AP46" s="367"/>
      <c r="AQ46" s="387"/>
      <c r="AR46" s="358"/>
      <c r="AS46" s="358"/>
      <c r="AT46" s="358"/>
      <c r="AU46" s="367"/>
      <c r="AV46" s="367"/>
      <c r="AW46" s="367"/>
      <c r="AX46" s="290"/>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row>
    <row r="47" spans="1:111" s="34" customFormat="1" ht="16.8">
      <c r="B47" s="176"/>
      <c r="C47" s="345"/>
      <c r="D47" s="205"/>
      <c r="E47" s="346"/>
      <c r="F47" s="198"/>
      <c r="G47" s="347"/>
      <c r="H47" s="347"/>
      <c r="I47" s="347"/>
      <c r="J47" s="347" t="s">
        <v>372</v>
      </c>
      <c r="K47" s="347" t="s">
        <v>507</v>
      </c>
      <c r="L47" s="347"/>
      <c r="M47" s="347"/>
      <c r="N47" s="347"/>
      <c r="O47" s="347"/>
      <c r="P47" s="347"/>
      <c r="Q47" s="347"/>
      <c r="R47" s="347"/>
      <c r="S47" s="347"/>
      <c r="T47" s="347"/>
      <c r="U47" s="347"/>
      <c r="V47" s="347"/>
      <c r="W47" s="347"/>
      <c r="X47" s="347"/>
      <c r="Y47" s="347"/>
      <c r="Z47" s="433"/>
      <c r="AA47" s="349" t="s">
        <v>756</v>
      </c>
      <c r="AB47" s="349" t="s">
        <v>544</v>
      </c>
      <c r="AC47" s="348" t="s">
        <v>754</v>
      </c>
      <c r="AD47" s="349" t="s">
        <v>233</v>
      </c>
      <c r="AE47" s="349" t="s">
        <v>751</v>
      </c>
      <c r="AF47" s="349" t="s">
        <v>752</v>
      </c>
      <c r="AG47" s="349" t="s">
        <v>753</v>
      </c>
      <c r="AH47" s="349"/>
      <c r="AI47" s="349"/>
      <c r="AJ47" s="349"/>
      <c r="AK47" s="349"/>
      <c r="AL47" s="349"/>
      <c r="AM47" s="349" t="s">
        <v>840</v>
      </c>
      <c r="AN47" s="368"/>
      <c r="AO47" s="368"/>
      <c r="AP47" s="368"/>
      <c r="AQ47" s="388"/>
      <c r="AR47" s="359">
        <f>RIGHT(AR21,LEN(AR21)-1)*1</f>
        <v>8</v>
      </c>
      <c r="AS47" s="359">
        <f t="shared" ref="AS47:AT47" si="60">RIGHT(AS21,LEN(AS21)-1)*1</f>
        <v>7</v>
      </c>
      <c r="AT47" s="359">
        <f t="shared" si="60"/>
        <v>6</v>
      </c>
      <c r="AU47" s="368"/>
      <c r="AV47" s="368"/>
      <c r="AW47" s="368"/>
      <c r="AX47" s="350"/>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t="s">
        <v>844</v>
      </c>
      <c r="CU47" s="446">
        <f t="shared" ref="CU47:DF47" si="61">IF(M$21&lt;=$J$20,0,IF(BJ25=0,0,(M25/BJ25)-1))</f>
        <v>0</v>
      </c>
      <c r="CV47" s="446">
        <f t="shared" si="61"/>
        <v>0</v>
      </c>
      <c r="CW47" s="446">
        <f t="shared" si="61"/>
        <v>0</v>
      </c>
      <c r="CX47" s="446">
        <f t="shared" si="61"/>
        <v>0</v>
      </c>
      <c r="CY47" s="446">
        <f t="shared" si="61"/>
        <v>0</v>
      </c>
      <c r="CZ47" s="446">
        <f t="shared" si="61"/>
        <v>0</v>
      </c>
      <c r="DA47" s="446">
        <f t="shared" si="61"/>
        <v>0</v>
      </c>
      <c r="DB47" s="446">
        <f t="shared" si="61"/>
        <v>0</v>
      </c>
      <c r="DC47" s="446">
        <f t="shared" si="61"/>
        <v>0</v>
      </c>
      <c r="DD47" s="446">
        <f t="shared" si="61"/>
        <v>0</v>
      </c>
      <c r="DE47" s="446">
        <f t="shared" si="61"/>
        <v>0</v>
      </c>
      <c r="DF47" s="446">
        <f t="shared" si="61"/>
        <v>0</v>
      </c>
    </row>
    <row r="48" spans="1:111" s="34" customFormat="1" ht="16.8">
      <c r="B48" s="176"/>
      <c r="C48" s="345"/>
      <c r="E48" s="346"/>
      <c r="F48" s="175"/>
      <c r="G48" s="347" t="str">
        <f>G3</f>
        <v>Dept.Dept</v>
      </c>
      <c r="H48" s="347" t="str">
        <f>H3</f>
        <v>ACCT.Acct</v>
      </c>
      <c r="I48" s="347" t="s">
        <v>871</v>
      </c>
      <c r="J48" s="347" t="s">
        <v>20</v>
      </c>
      <c r="K48" s="347" t="s">
        <v>456</v>
      </c>
      <c r="L48" s="347" t="s">
        <v>705</v>
      </c>
      <c r="M48" s="347" t="str" cm="1">
        <f t="array" ref="M48">_xll.GetData("Period.Month", "Code = "&amp;M18)</f>
        <v>July</v>
      </c>
      <c r="N48" s="347" t="str" cm="1">
        <f t="array" ref="N48">_xll.GetData("Period.Month", "Code = "&amp;N18)</f>
        <v>August</v>
      </c>
      <c r="O48" s="347" t="str" cm="1">
        <f t="array" ref="O48">_xll.GetData("Period.Month", "Code = "&amp;O18)</f>
        <v>September</v>
      </c>
      <c r="P48" s="347" t="str" cm="1">
        <f t="array" ref="P48">_xll.GetData("Period.Month", "Code = "&amp;P18)</f>
        <v>October</v>
      </c>
      <c r="Q48" s="347" t="str" cm="1">
        <f t="array" ref="Q48">_xll.GetData("Period.Month", "Code = "&amp;Q18)</f>
        <v>November</v>
      </c>
      <c r="R48" s="347" t="str" cm="1">
        <f t="array" ref="R48">_xll.GetData("Period.Month", "Code = "&amp;R18)</f>
        <v>December</v>
      </c>
      <c r="S48" s="347" t="str" cm="1">
        <f t="array" ref="S48">_xll.GetData("Period.Month", "Code = "&amp;S18)</f>
        <v>January</v>
      </c>
      <c r="T48" s="347" t="str" cm="1">
        <f t="array" ref="T48">_xll.GetData("Period.Month", "Code = "&amp;T18)</f>
        <v>February</v>
      </c>
      <c r="U48" s="347" t="str" cm="1">
        <f t="array" ref="U48">_xll.GetData("Period.Month", "Code = "&amp;U18)</f>
        <v>March</v>
      </c>
      <c r="V48" s="347" t="str" cm="1">
        <f t="array" ref="V48">_xll.GetData("Period.Month", "Code = "&amp;V18)</f>
        <v>April</v>
      </c>
      <c r="W48" s="347" t="str" cm="1">
        <f t="array" ref="W48">_xll.GetData("Period.Month", "Code = "&amp;W18)</f>
        <v>May</v>
      </c>
      <c r="X48" s="347" t="str" cm="1">
        <f t="array" ref="X48">_xll.GetData("Period.Month", "Code = "&amp;X18)</f>
        <v>June</v>
      </c>
      <c r="Y48" s="347" t="s">
        <v>373</v>
      </c>
      <c r="Z48" s="434" t="s">
        <v>872</v>
      </c>
      <c r="AA48" s="349" t="s">
        <v>20</v>
      </c>
      <c r="AB48" s="349" t="s">
        <v>749</v>
      </c>
      <c r="AC48" s="348" t="s">
        <v>716</v>
      </c>
      <c r="AD48" s="349" t="s">
        <v>718</v>
      </c>
      <c r="AE48" s="349" t="s">
        <v>717</v>
      </c>
      <c r="AF48" s="349" t="s">
        <v>719</v>
      </c>
      <c r="AG48" s="349" t="s">
        <v>747</v>
      </c>
      <c r="AH48" s="349" t="s">
        <v>179</v>
      </c>
      <c r="AI48" s="349" t="s">
        <v>179</v>
      </c>
      <c r="AJ48" s="349" t="s">
        <v>179</v>
      </c>
      <c r="AK48" s="349" t="s">
        <v>841</v>
      </c>
      <c r="AL48" s="349" t="s">
        <v>874</v>
      </c>
      <c r="AM48" s="349" t="s">
        <v>875</v>
      </c>
      <c r="AN48" s="369" t="s">
        <v>622</v>
      </c>
      <c r="AO48" s="369" t="s">
        <v>586</v>
      </c>
      <c r="AP48" s="369" t="s">
        <v>667</v>
      </c>
      <c r="AQ48" s="389" t="s">
        <v>755</v>
      </c>
      <c r="AR48" s="360" t="str">
        <f>AR3</f>
        <v>ACT2020.P8</v>
      </c>
      <c r="AS48" s="360" t="str">
        <f t="shared" ref="AS48:AT48" si="62">AS3</f>
        <v>ACT2020.P7</v>
      </c>
      <c r="AT48" s="360" t="str">
        <f t="shared" si="62"/>
        <v>ACT2020.P6</v>
      </c>
      <c r="AU48" s="369" t="s">
        <v>132</v>
      </c>
      <c r="AV48" s="369" t="s">
        <v>267</v>
      </c>
      <c r="AW48" s="369" t="s">
        <v>668</v>
      </c>
      <c r="AX48" s="351" t="s">
        <v>453</v>
      </c>
      <c r="AY48" s="349" t="s">
        <v>15</v>
      </c>
      <c r="AZ48" s="349" t="s">
        <v>173</v>
      </c>
      <c r="BA48" s="349" t="s">
        <v>342</v>
      </c>
      <c r="BB48" s="349" t="s">
        <v>501</v>
      </c>
      <c r="BC48" s="349" t="s">
        <v>16</v>
      </c>
      <c r="BD48" s="349" t="s">
        <v>174</v>
      </c>
      <c r="BE48" s="349" t="s">
        <v>343</v>
      </c>
      <c r="BF48" s="349" t="s">
        <v>502</v>
      </c>
      <c r="BG48" s="349" t="s">
        <v>623</v>
      </c>
      <c r="BH48" s="349" t="s">
        <v>133</v>
      </c>
      <c r="BI48" s="349" t="s">
        <v>344</v>
      </c>
      <c r="BJ48" s="349" t="s">
        <v>345</v>
      </c>
      <c r="BK48" s="349" t="s">
        <v>503</v>
      </c>
      <c r="BL48" s="349" t="s">
        <v>17</v>
      </c>
      <c r="BM48" s="349" t="s">
        <v>175</v>
      </c>
      <c r="BN48" s="349" t="s">
        <v>346</v>
      </c>
      <c r="BO48" s="349" t="s">
        <v>504</v>
      </c>
      <c r="BP48" s="349" t="s">
        <v>18</v>
      </c>
      <c r="BQ48" s="349" t="s">
        <v>176</v>
      </c>
      <c r="BR48" s="349" t="s">
        <v>370</v>
      </c>
      <c r="BS48" s="349" t="s">
        <v>299</v>
      </c>
      <c r="BT48" s="349" t="s">
        <v>505</v>
      </c>
      <c r="BU48" s="349" t="s">
        <v>19</v>
      </c>
      <c r="BV48" s="349" t="s">
        <v>55</v>
      </c>
      <c r="BW48" s="349" t="s">
        <v>228</v>
      </c>
      <c r="BX48" s="349" t="s">
        <v>421</v>
      </c>
      <c r="BY48" s="349" t="s">
        <v>584</v>
      </c>
      <c r="BZ48" s="349" t="s">
        <v>89</v>
      </c>
      <c r="CA48" s="349" t="s">
        <v>268</v>
      </c>
      <c r="CB48" s="349" t="s">
        <v>422</v>
      </c>
      <c r="CC48" s="349" t="s">
        <v>585</v>
      </c>
      <c r="CD48" s="349" t="s">
        <v>90</v>
      </c>
      <c r="CE48" s="349" t="s">
        <v>177</v>
      </c>
      <c r="CF48" s="349" t="s">
        <v>347</v>
      </c>
      <c r="CG48" s="349" t="s">
        <v>506</v>
      </c>
      <c r="CH48" s="349" t="s">
        <v>722</v>
      </c>
      <c r="CI48" s="349" t="s">
        <v>723</v>
      </c>
      <c r="CJ48" s="349" t="s">
        <v>724</v>
      </c>
      <c r="CK48" s="349" t="s">
        <v>725</v>
      </c>
      <c r="CL48" s="349" t="s">
        <v>726</v>
      </c>
      <c r="CM48" s="349" t="s">
        <v>727</v>
      </c>
      <c r="CN48" s="349" t="s">
        <v>728</v>
      </c>
      <c r="CO48" s="349" t="s">
        <v>729</v>
      </c>
      <c r="CP48" s="349" t="s">
        <v>730</v>
      </c>
      <c r="CQ48" s="349" t="s">
        <v>731</v>
      </c>
      <c r="CR48" s="349" t="s">
        <v>732</v>
      </c>
      <c r="CS48" s="349" t="s">
        <v>733</v>
      </c>
      <c r="CT48" s="346" t="s">
        <v>840</v>
      </c>
      <c r="CU48" s="346" t="s">
        <v>735</v>
      </c>
      <c r="CV48" s="346" t="s">
        <v>736</v>
      </c>
      <c r="CW48" s="346" t="s">
        <v>737</v>
      </c>
      <c r="CX48" s="346" t="s">
        <v>738</v>
      </c>
      <c r="CY48" s="346" t="s">
        <v>739</v>
      </c>
      <c r="CZ48" s="346" t="s">
        <v>740</v>
      </c>
      <c r="DA48" s="346" t="s">
        <v>741</v>
      </c>
      <c r="DB48" s="346" t="s">
        <v>742</v>
      </c>
      <c r="DC48" s="346" t="s">
        <v>743</v>
      </c>
      <c r="DD48" s="346" t="s">
        <v>744</v>
      </c>
      <c r="DE48" s="346" t="s">
        <v>745</v>
      </c>
      <c r="DF48" s="346" t="s">
        <v>746</v>
      </c>
      <c r="DG48" s="34" t="s">
        <v>801</v>
      </c>
    </row>
    <row r="49" spans="1:111" ht="16.8">
      <c r="C49" s="13"/>
      <c r="D49" s="28"/>
      <c r="E49" s="5"/>
      <c r="F49" s="23"/>
      <c r="G49" s="23"/>
      <c r="H49" s="23"/>
      <c r="I49" s="194"/>
      <c r="J49" s="67"/>
      <c r="K49" s="67"/>
      <c r="L49" s="34"/>
      <c r="M49" s="67"/>
      <c r="N49" s="67"/>
      <c r="O49" s="67"/>
      <c r="P49" s="67"/>
      <c r="Q49" s="67"/>
      <c r="R49" s="67"/>
      <c r="S49" s="67"/>
      <c r="T49" s="67"/>
      <c r="U49" s="67"/>
      <c r="V49" s="67"/>
      <c r="W49" s="67"/>
      <c r="X49" s="67"/>
      <c r="AA49" s="6"/>
      <c r="AB49" s="6"/>
      <c r="AC49" s="340"/>
      <c r="AD49" s="6"/>
      <c r="AE49" s="6"/>
      <c r="AF49" s="6"/>
      <c r="AG49" s="6"/>
      <c r="AH49" s="6"/>
      <c r="AI49" s="6"/>
      <c r="AJ49" s="6"/>
      <c r="AK49" s="6"/>
      <c r="AL49" s="6"/>
      <c r="AM49" s="6"/>
      <c r="AN49" s="334"/>
      <c r="AO49" s="334"/>
      <c r="AP49" s="334"/>
      <c r="AQ49" s="385"/>
      <c r="AR49" s="356"/>
      <c r="AS49" s="356"/>
      <c r="AT49" s="356"/>
      <c r="AU49" s="334"/>
      <c r="AV49" s="334"/>
      <c r="AW49" s="334"/>
      <c r="AX49" s="289"/>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t="s">
        <v>748</v>
      </c>
      <c r="CU49" s="6" cm="1">
        <f t="array" ref="CU49">COLUMN(CYFDriver!F:F)</f>
        <v>6</v>
      </c>
      <c r="CV49" s="6" cm="1">
        <f t="array" ref="CV49">COLUMN(CYFDriver!G:G)</f>
        <v>7</v>
      </c>
      <c r="CW49" s="6" cm="1">
        <f t="array" ref="CW49">COLUMN(CYFDriver!H:H)</f>
        <v>8</v>
      </c>
      <c r="CX49" s="6" cm="1">
        <f t="array" ref="CX49">COLUMN(CYFDriver!I:I)</f>
        <v>9</v>
      </c>
      <c r="CY49" s="6" cm="1">
        <f t="array" ref="CY49">COLUMN(CYFDriver!J:J)</f>
        <v>10</v>
      </c>
      <c r="CZ49" s="6" cm="1">
        <f t="array" ref="CZ49">COLUMN(CYFDriver!K:K)</f>
        <v>11</v>
      </c>
      <c r="DA49" s="6" cm="1">
        <f t="array" ref="DA49">COLUMN(CYFDriver!L:L)</f>
        <v>12</v>
      </c>
      <c r="DB49" s="6" cm="1">
        <f t="array" ref="DB49">COLUMN(CYFDriver!M:M)</f>
        <v>13</v>
      </c>
      <c r="DC49" s="6" cm="1">
        <f t="array" ref="DC49">COLUMN(CYFDriver!N:N)</f>
        <v>14</v>
      </c>
      <c r="DD49" s="6" cm="1">
        <f t="array" ref="DD49">COLUMN(CYFDriver!O:O)</f>
        <v>15</v>
      </c>
      <c r="DE49" s="6" cm="1">
        <f t="array" ref="DE49">COLUMN(CYFDriver!P:P)</f>
        <v>16</v>
      </c>
      <c r="DF49" s="6" cm="1">
        <f t="array" ref="DF49">COLUMN(CYFDriver!Q:Q)</f>
        <v>17</v>
      </c>
      <c r="DG49" s="28"/>
    </row>
    <row r="50" spans="1:111" ht="16.8">
      <c r="C50" s="13"/>
      <c r="D50" s="28"/>
      <c r="E50" s="5"/>
      <c r="F50" s="23"/>
      <c r="G50" s="23"/>
      <c r="H50" s="23"/>
      <c r="I50" s="194"/>
      <c r="J50" s="67"/>
      <c r="K50" s="67"/>
      <c r="L50" s="34"/>
      <c r="M50" s="67"/>
      <c r="N50" s="67"/>
      <c r="O50" s="67"/>
      <c r="P50" s="67"/>
      <c r="Q50" s="67"/>
      <c r="R50" s="67"/>
      <c r="S50" s="67"/>
      <c r="T50" s="67"/>
      <c r="U50" s="67"/>
      <c r="V50" s="67"/>
      <c r="W50" s="67"/>
      <c r="X50" s="67"/>
      <c r="CU50" s="28"/>
      <c r="CV50" s="28"/>
      <c r="CW50" s="28"/>
      <c r="CX50" s="28"/>
      <c r="CY50" s="28"/>
      <c r="CZ50" s="28"/>
      <c r="DA50" s="28"/>
      <c r="DB50" s="28"/>
      <c r="DC50" s="28"/>
      <c r="DD50" s="28"/>
      <c r="DE50" s="28"/>
      <c r="DF50" s="28"/>
      <c r="DG50" s="28"/>
    </row>
    <row r="51" spans="1:111" ht="17.399999999999999" customHeight="1">
      <c r="C51" s="13"/>
      <c r="D51" s="28"/>
      <c r="E51" s="5"/>
      <c r="F51" s="23"/>
      <c r="G51" s="23"/>
      <c r="H51" s="23"/>
      <c r="I51" s="19" t="s">
        <v>424</v>
      </c>
      <c r="J51" s="19"/>
      <c r="K51" s="19"/>
      <c r="L51" s="19"/>
      <c r="M51" s="19"/>
      <c r="N51" s="19"/>
      <c r="O51" s="19"/>
      <c r="P51" s="19"/>
      <c r="Q51" s="19"/>
      <c r="R51" s="19"/>
      <c r="S51" s="19"/>
      <c r="T51" s="19"/>
      <c r="U51" s="19"/>
      <c r="V51" s="19"/>
      <c r="W51" s="19"/>
      <c r="X51" s="19"/>
      <c r="Y51" s="19"/>
      <c r="CU51" s="28"/>
      <c r="CV51" s="28"/>
      <c r="CW51" s="28"/>
      <c r="CX51" s="28"/>
      <c r="CY51" s="28"/>
      <c r="CZ51" s="28"/>
      <c r="DA51" s="28"/>
      <c r="DB51" s="28"/>
      <c r="DC51" s="28"/>
      <c r="DD51" s="28"/>
      <c r="DE51" s="28"/>
      <c r="DF51" s="28"/>
      <c r="DG51" s="28"/>
    </row>
    <row r="52" spans="1:111" ht="17.399999999999999" hidden="1" customHeight="1">
      <c r="A52" s="212" t="str">
        <f>"[AQ1;"&amp;B52&amp;"]"</f>
        <v>[AQ1;ACCT.BudgetType IN ('KeyIP', 'KeyOP', 'KeyOth')]</v>
      </c>
      <c r="B52" s="277" t="str">
        <f>"ACCT.BudgetType IN ('KeyIP', 'KeyOP', 'KeyOth')"</f>
        <v>ACCT.BudgetType IN ('KeyIP', 'KeyOP', 'KeyOth')</v>
      </c>
      <c r="C52" s="13" t="s">
        <v>359</v>
      </c>
      <c r="D52" s="28"/>
      <c r="E52" s="5"/>
      <c r="F52" s="23"/>
      <c r="G52" s="23"/>
      <c r="H52" s="23"/>
      <c r="I52" s="23"/>
      <c r="J52" s="23"/>
      <c r="K52" s="23"/>
      <c r="L52" s="34"/>
      <c r="M52" s="3"/>
      <c r="N52" s="3"/>
      <c r="O52" s="3"/>
      <c r="P52" s="3"/>
      <c r="Q52" s="3"/>
      <c r="R52" s="3"/>
      <c r="S52" s="3"/>
      <c r="T52" s="3"/>
      <c r="U52" s="3"/>
      <c r="V52" s="3"/>
      <c r="W52" s="3"/>
      <c r="X52" s="3"/>
      <c r="Y52" s="3"/>
      <c r="Z52" s="435"/>
      <c r="AA52" s="3"/>
      <c r="AB52" s="3"/>
      <c r="AC52" s="341"/>
      <c r="AD52" s="3"/>
      <c r="AE52" s="3"/>
      <c r="AF52" s="3"/>
      <c r="AG52" s="3"/>
      <c r="AH52" s="3"/>
      <c r="AI52" s="3"/>
      <c r="AJ52" s="3"/>
      <c r="AK52" s="29"/>
      <c r="AL52" s="29"/>
      <c r="AM52" s="29"/>
      <c r="AX52" s="285"/>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72"/>
      <c r="CV52" s="72"/>
      <c r="CW52" s="72"/>
      <c r="CX52" s="72"/>
      <c r="CY52" s="72"/>
      <c r="CZ52" s="72"/>
      <c r="DA52" s="72"/>
      <c r="DB52" s="72"/>
      <c r="DC52" s="72"/>
      <c r="DD52" s="72"/>
      <c r="DE52" s="72"/>
      <c r="DF52" s="72"/>
      <c r="DG52" s="28"/>
    </row>
    <row r="53" spans="1:111" ht="17.399999999999999" customHeight="1">
      <c r="A53" s="18" t="s">
        <v>671</v>
      </c>
      <c r="C53" s="13"/>
      <c r="D53" s="28"/>
      <c r="E53" s="5"/>
      <c r="F53" s="23"/>
      <c r="G53" s="23"/>
      <c r="H53" s="23"/>
      <c r="I53" s="23"/>
      <c r="J53" s="23"/>
      <c r="K53" s="23"/>
      <c r="L53" s="34"/>
      <c r="M53" s="10"/>
      <c r="N53" s="10"/>
      <c r="O53" s="10"/>
      <c r="P53" s="10"/>
      <c r="Q53" s="10"/>
      <c r="R53" s="10"/>
      <c r="S53" s="10"/>
      <c r="T53" s="10"/>
      <c r="U53" s="10"/>
      <c r="V53" s="10"/>
      <c r="W53" s="10"/>
      <c r="X53" s="10"/>
      <c r="Y53" s="10"/>
      <c r="Z53" s="430"/>
      <c r="AA53" s="29"/>
      <c r="AB53" s="29"/>
      <c r="AC53" s="335"/>
      <c r="AD53" s="29"/>
      <c r="AE53" s="29"/>
      <c r="AF53" s="29"/>
      <c r="AG53" s="29"/>
      <c r="AH53" s="29"/>
      <c r="AI53" s="29"/>
      <c r="AJ53" s="29"/>
      <c r="AK53" s="29"/>
      <c r="AL53" s="29"/>
      <c r="AM53" s="29"/>
      <c r="AX53" s="285"/>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72"/>
      <c r="CV53" s="72"/>
      <c r="CW53" s="72"/>
      <c r="CX53" s="72"/>
      <c r="CY53" s="72"/>
      <c r="CZ53" s="72"/>
      <c r="DA53" s="72"/>
      <c r="DB53" s="72"/>
      <c r="DC53" s="72"/>
      <c r="DD53" s="72"/>
      <c r="DE53" s="72"/>
      <c r="DF53" s="72"/>
      <c r="DG53" s="28"/>
    </row>
    <row r="54" spans="1:111" s="52" customFormat="1" ht="16.8">
      <c r="B54" s="60"/>
      <c r="C54" s="13"/>
      <c r="D54" s="28"/>
      <c r="E54" s="5"/>
      <c r="F54" s="39"/>
      <c r="G54" s="39"/>
      <c r="H54" s="39"/>
      <c r="I54" s="31" t="str">
        <f>"   Total "&amp;I51</f>
        <v xml:space="preserve">   Total Key Statistics</v>
      </c>
      <c r="J54" s="31"/>
      <c r="K54" s="31"/>
      <c r="L54" s="31"/>
      <c r="M54" s="421">
        <f t="shared" ref="M54:Y54" si="63">SUM(M51:M53)</f>
        <v>0</v>
      </c>
      <c r="N54" s="421">
        <f t="shared" si="63"/>
        <v>0</v>
      </c>
      <c r="O54" s="421">
        <f t="shared" si="63"/>
        <v>0</v>
      </c>
      <c r="P54" s="421">
        <f t="shared" si="63"/>
        <v>0</v>
      </c>
      <c r="Q54" s="421">
        <f t="shared" si="63"/>
        <v>0</v>
      </c>
      <c r="R54" s="421">
        <f t="shared" si="63"/>
        <v>0</v>
      </c>
      <c r="S54" s="421">
        <f t="shared" si="63"/>
        <v>0</v>
      </c>
      <c r="T54" s="421">
        <f t="shared" si="63"/>
        <v>0</v>
      </c>
      <c r="U54" s="421">
        <f t="shared" si="63"/>
        <v>0</v>
      </c>
      <c r="V54" s="421">
        <f t="shared" si="63"/>
        <v>0</v>
      </c>
      <c r="W54" s="421">
        <f t="shared" si="63"/>
        <v>0</v>
      </c>
      <c r="X54" s="421">
        <f t="shared" si="63"/>
        <v>0</v>
      </c>
      <c r="Y54" s="421">
        <f t="shared" si="63"/>
        <v>0</v>
      </c>
      <c r="Z54" s="436"/>
      <c r="AC54" s="342"/>
      <c r="AN54" s="370">
        <f t="shared" ref="AN54:CG54" si="64">SUM(AN51:AN53)</f>
        <v>0</v>
      </c>
      <c r="AO54" s="370">
        <f t="shared" si="64"/>
        <v>0</v>
      </c>
      <c r="AP54" s="370">
        <f t="shared" si="64"/>
        <v>0</v>
      </c>
      <c r="AQ54" s="390">
        <f t="shared" si="64"/>
        <v>0</v>
      </c>
      <c r="AR54" s="361">
        <f t="shared" si="64"/>
        <v>0</v>
      </c>
      <c r="AS54" s="361">
        <f t="shared" si="64"/>
        <v>0</v>
      </c>
      <c r="AT54" s="361">
        <f t="shared" si="64"/>
        <v>0</v>
      </c>
      <c r="AU54" s="370">
        <f t="shared" si="64"/>
        <v>0</v>
      </c>
      <c r="AV54" s="370">
        <f t="shared" si="64"/>
        <v>0</v>
      </c>
      <c r="AW54" s="370">
        <f t="shared" si="64"/>
        <v>0</v>
      </c>
      <c r="AX54" s="291">
        <f t="shared" si="64"/>
        <v>0</v>
      </c>
      <c r="AY54" s="32">
        <f t="shared" si="64"/>
        <v>0</v>
      </c>
      <c r="AZ54" s="32">
        <f t="shared" si="64"/>
        <v>0</v>
      </c>
      <c r="BA54" s="32">
        <f t="shared" si="64"/>
        <v>0</v>
      </c>
      <c r="BB54" s="32">
        <f t="shared" si="64"/>
        <v>0</v>
      </c>
      <c r="BC54" s="32">
        <f t="shared" si="64"/>
        <v>0</v>
      </c>
      <c r="BD54" s="32">
        <f t="shared" si="64"/>
        <v>0</v>
      </c>
      <c r="BE54" s="32">
        <f t="shared" si="64"/>
        <v>0</v>
      </c>
      <c r="BF54" s="32">
        <f t="shared" si="64"/>
        <v>0</v>
      </c>
      <c r="BG54" s="32">
        <f t="shared" si="64"/>
        <v>0</v>
      </c>
      <c r="BH54" s="32">
        <f t="shared" si="64"/>
        <v>0</v>
      </c>
      <c r="BI54" s="32">
        <f t="shared" si="64"/>
        <v>0</v>
      </c>
      <c r="BJ54" s="32">
        <f t="shared" si="64"/>
        <v>0</v>
      </c>
      <c r="BK54" s="32">
        <f t="shared" si="64"/>
        <v>0</v>
      </c>
      <c r="BL54" s="32">
        <f t="shared" si="64"/>
        <v>0</v>
      </c>
      <c r="BM54" s="32">
        <f t="shared" si="64"/>
        <v>0</v>
      </c>
      <c r="BN54" s="32">
        <f t="shared" si="64"/>
        <v>0</v>
      </c>
      <c r="BO54" s="32">
        <f t="shared" si="64"/>
        <v>0</v>
      </c>
      <c r="BP54" s="32">
        <f t="shared" si="64"/>
        <v>0</v>
      </c>
      <c r="BQ54" s="32">
        <f t="shared" si="64"/>
        <v>0</v>
      </c>
      <c r="BR54" s="32">
        <f t="shared" si="64"/>
        <v>0</v>
      </c>
      <c r="BS54" s="32">
        <f t="shared" si="64"/>
        <v>0</v>
      </c>
      <c r="BT54" s="32">
        <f t="shared" si="64"/>
        <v>0</v>
      </c>
      <c r="BU54" s="32">
        <f t="shared" si="64"/>
        <v>0</v>
      </c>
      <c r="BV54" s="32">
        <f t="shared" si="64"/>
        <v>0</v>
      </c>
      <c r="BW54" s="32">
        <f t="shared" si="64"/>
        <v>0</v>
      </c>
      <c r="BX54" s="32">
        <f t="shared" si="64"/>
        <v>0</v>
      </c>
      <c r="BY54" s="32">
        <f t="shared" si="64"/>
        <v>0</v>
      </c>
      <c r="BZ54" s="32">
        <f t="shared" si="64"/>
        <v>0</v>
      </c>
      <c r="CA54" s="32">
        <f t="shared" si="64"/>
        <v>0</v>
      </c>
      <c r="CB54" s="32">
        <f t="shared" si="64"/>
        <v>0</v>
      </c>
      <c r="CC54" s="32">
        <f t="shared" si="64"/>
        <v>0</v>
      </c>
      <c r="CD54" s="32">
        <f t="shared" si="64"/>
        <v>0</v>
      </c>
      <c r="CE54" s="32">
        <f t="shared" si="64"/>
        <v>0</v>
      </c>
      <c r="CF54" s="32">
        <f t="shared" si="64"/>
        <v>0</v>
      </c>
      <c r="CG54" s="32">
        <f t="shared" si="64"/>
        <v>0</v>
      </c>
      <c r="CU54" s="28"/>
      <c r="CV54" s="28"/>
      <c r="CW54" s="28"/>
      <c r="CX54" s="28"/>
      <c r="CY54" s="28"/>
      <c r="CZ54" s="28"/>
      <c r="DA54" s="28"/>
      <c r="DB54" s="28"/>
      <c r="DC54" s="28"/>
      <c r="DD54" s="28"/>
      <c r="DE54" s="28"/>
      <c r="DF54" s="28"/>
      <c r="DG54" s="28"/>
    </row>
    <row r="55" spans="1:111" ht="16.8">
      <c r="C55" s="13"/>
      <c r="D55" s="28"/>
      <c r="E55" s="5"/>
      <c r="F55" s="23"/>
      <c r="G55" s="23"/>
      <c r="H55" s="23"/>
      <c r="I55" s="113"/>
      <c r="J55" s="7"/>
      <c r="K55" s="7"/>
      <c r="L55" s="34"/>
      <c r="M55" s="422"/>
      <c r="N55" s="422"/>
      <c r="O55" s="422"/>
      <c r="P55" s="422"/>
      <c r="Q55" s="422"/>
      <c r="R55" s="422"/>
      <c r="S55" s="422"/>
      <c r="T55" s="422"/>
      <c r="U55" s="447"/>
      <c r="V55" s="422"/>
      <c r="W55" s="422"/>
      <c r="X55" s="422"/>
      <c r="Y55" s="422"/>
    </row>
    <row r="56" spans="1:111" ht="19.2">
      <c r="B56" s="60" t="s">
        <v>762</v>
      </c>
      <c r="C56" s="13"/>
      <c r="D56" s="28"/>
      <c r="E56" s="5"/>
      <c r="F56" s="23"/>
      <c r="G56" s="23"/>
      <c r="H56" s="23"/>
      <c r="I56" s="19" t="s">
        <v>349</v>
      </c>
      <c r="J56" s="19"/>
      <c r="K56" s="19"/>
      <c r="L56" s="19"/>
      <c r="M56" s="423"/>
      <c r="N56" s="423"/>
      <c r="O56" s="423"/>
      <c r="P56" s="423"/>
      <c r="Q56" s="423"/>
      <c r="R56" s="423"/>
      <c r="S56" s="423"/>
      <c r="T56" s="423"/>
      <c r="U56" s="423"/>
      <c r="V56" s="423"/>
      <c r="W56" s="423"/>
      <c r="X56" s="423"/>
      <c r="Y56" s="423"/>
      <c r="CU56" s="28"/>
      <c r="CV56" s="28"/>
      <c r="CW56" s="28"/>
      <c r="CX56" s="28"/>
      <c r="CY56" s="28"/>
      <c r="CZ56" s="28"/>
      <c r="DA56" s="28"/>
      <c r="DB56" s="28"/>
      <c r="DC56" s="28"/>
      <c r="DD56" s="28"/>
      <c r="DE56" s="28"/>
      <c r="DF56" s="28"/>
      <c r="DG56" s="28"/>
    </row>
    <row r="57" spans="1:111" ht="4.95" hidden="1" customHeight="1">
      <c r="A57" s="212" t="str">
        <f>"[AQ1;"&amp;B57&amp;"]"</f>
        <v>[AQ1;ACCT.BudgetType='OthStat']</v>
      </c>
      <c r="B57" s="277" t="str">
        <f>"ACCT.BudgetType='"&amp;B56&amp;"'"</f>
        <v>ACCT.BudgetType='OthStat'</v>
      </c>
      <c r="C57" s="13" t="s">
        <v>359</v>
      </c>
      <c r="D57" s="28"/>
      <c r="E57" s="5"/>
      <c r="F57" s="23"/>
      <c r="G57" s="23"/>
      <c r="H57" s="23"/>
      <c r="I57" s="23"/>
      <c r="J57" s="23"/>
      <c r="K57" s="23"/>
      <c r="L57" s="34"/>
      <c r="M57" s="419"/>
      <c r="N57" s="419"/>
      <c r="O57" s="419"/>
      <c r="P57" s="419"/>
      <c r="Q57" s="419"/>
      <c r="R57" s="419"/>
      <c r="S57" s="419"/>
      <c r="T57" s="419"/>
      <c r="U57" s="419"/>
      <c r="V57" s="419"/>
      <c r="W57" s="419"/>
      <c r="X57" s="419"/>
      <c r="Y57" s="419"/>
      <c r="Z57" s="435"/>
      <c r="AA57" s="3"/>
      <c r="AB57" s="3"/>
      <c r="AC57" s="341"/>
      <c r="AD57" s="3"/>
      <c r="AE57" s="3"/>
      <c r="AF57" s="3"/>
      <c r="AG57" s="3"/>
      <c r="AH57" s="3"/>
      <c r="AI57" s="3"/>
      <c r="AJ57" s="3"/>
      <c r="AK57" s="29"/>
      <c r="AL57" s="29"/>
      <c r="AM57" s="29"/>
      <c r="AX57" s="285"/>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72"/>
      <c r="CV57" s="72"/>
      <c r="CW57" s="72"/>
      <c r="CX57" s="72"/>
      <c r="CY57" s="72"/>
      <c r="CZ57" s="72"/>
      <c r="DA57" s="72"/>
      <c r="DB57" s="72"/>
      <c r="DC57" s="72"/>
      <c r="DD57" s="72"/>
      <c r="DE57" s="72"/>
      <c r="DF57" s="72"/>
      <c r="DG57" s="28"/>
    </row>
    <row r="58" spans="1:111" ht="4.95" customHeight="1">
      <c r="A58" s="212" t="s">
        <v>671</v>
      </c>
      <c r="B58" s="277"/>
      <c r="C58" s="13"/>
      <c r="D58" s="28"/>
      <c r="E58" s="5"/>
      <c r="F58" s="23"/>
      <c r="G58" s="23"/>
      <c r="H58" s="23"/>
      <c r="I58" s="23"/>
      <c r="J58" s="23"/>
      <c r="K58" s="23"/>
      <c r="L58" s="34"/>
      <c r="M58" s="419"/>
      <c r="N58" s="419"/>
      <c r="O58" s="419"/>
      <c r="P58" s="419"/>
      <c r="Q58" s="419"/>
      <c r="R58" s="419"/>
      <c r="S58" s="419"/>
      <c r="T58" s="419"/>
      <c r="U58" s="419"/>
      <c r="V58" s="419"/>
      <c r="W58" s="419"/>
      <c r="X58" s="419"/>
      <c r="Y58" s="419"/>
      <c r="Z58" s="435"/>
      <c r="AA58" s="3"/>
      <c r="AB58" s="3"/>
      <c r="AC58" s="341"/>
      <c r="AD58" s="3"/>
      <c r="AE58" s="3"/>
      <c r="AF58" s="3"/>
      <c r="AG58" s="3"/>
      <c r="AH58" s="3"/>
      <c r="AI58" s="3"/>
      <c r="AJ58" s="3"/>
      <c r="AK58" s="29"/>
      <c r="AL58" s="29"/>
      <c r="AM58" s="29"/>
      <c r="AX58" s="285"/>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72"/>
      <c r="CV58" s="72"/>
      <c r="CW58" s="72"/>
      <c r="CX58" s="72"/>
      <c r="CY58" s="72"/>
      <c r="CZ58" s="72"/>
      <c r="DA58" s="72"/>
      <c r="DB58" s="72"/>
      <c r="DC58" s="72"/>
      <c r="DD58" s="72"/>
      <c r="DE58" s="72"/>
      <c r="DF58" s="72"/>
      <c r="DG58" s="28"/>
    </row>
    <row r="59" spans="1:111" s="52" customFormat="1" ht="16.8">
      <c r="B59" s="60"/>
      <c r="C59" s="13"/>
      <c r="D59" s="28"/>
      <c r="E59" s="5"/>
      <c r="F59" s="39"/>
      <c r="G59" s="39"/>
      <c r="H59" s="39"/>
      <c r="I59" s="31" t="str">
        <f>"   Total "&amp;I56</f>
        <v xml:space="preserve">   Total Other Statistics</v>
      </c>
      <c r="J59" s="31"/>
      <c r="K59" s="31"/>
      <c r="L59" s="31"/>
      <c r="M59" s="421">
        <f t="shared" ref="M59:Y59" si="65">SUM(M56:M58)</f>
        <v>0</v>
      </c>
      <c r="N59" s="421">
        <f t="shared" si="65"/>
        <v>0</v>
      </c>
      <c r="O59" s="421">
        <f t="shared" si="65"/>
        <v>0</v>
      </c>
      <c r="P59" s="421">
        <f t="shared" si="65"/>
        <v>0</v>
      </c>
      <c r="Q59" s="421">
        <f t="shared" si="65"/>
        <v>0</v>
      </c>
      <c r="R59" s="421">
        <f t="shared" si="65"/>
        <v>0</v>
      </c>
      <c r="S59" s="421">
        <f t="shared" si="65"/>
        <v>0</v>
      </c>
      <c r="T59" s="421">
        <f t="shared" si="65"/>
        <v>0</v>
      </c>
      <c r="U59" s="421">
        <f t="shared" si="65"/>
        <v>0</v>
      </c>
      <c r="V59" s="421">
        <f t="shared" si="65"/>
        <v>0</v>
      </c>
      <c r="W59" s="421">
        <f t="shared" si="65"/>
        <v>0</v>
      </c>
      <c r="X59" s="421">
        <f t="shared" si="65"/>
        <v>0</v>
      </c>
      <c r="Y59" s="421">
        <f t="shared" si="65"/>
        <v>0</v>
      </c>
      <c r="Z59" s="436"/>
      <c r="AC59" s="342"/>
      <c r="AN59" s="370">
        <f t="shared" ref="AN59:CG59" si="66">SUM(AN56:AN58)</f>
        <v>0</v>
      </c>
      <c r="AO59" s="370">
        <f t="shared" si="66"/>
        <v>0</v>
      </c>
      <c r="AP59" s="370">
        <f t="shared" si="66"/>
        <v>0</v>
      </c>
      <c r="AQ59" s="390">
        <f t="shared" si="66"/>
        <v>0</v>
      </c>
      <c r="AR59" s="361">
        <f t="shared" si="66"/>
        <v>0</v>
      </c>
      <c r="AS59" s="361">
        <f t="shared" si="66"/>
        <v>0</v>
      </c>
      <c r="AT59" s="361">
        <f t="shared" si="66"/>
        <v>0</v>
      </c>
      <c r="AU59" s="370">
        <f t="shared" si="66"/>
        <v>0</v>
      </c>
      <c r="AV59" s="370">
        <f t="shared" si="66"/>
        <v>0</v>
      </c>
      <c r="AW59" s="370">
        <f t="shared" si="66"/>
        <v>0</v>
      </c>
      <c r="AX59" s="291">
        <f t="shared" si="66"/>
        <v>0</v>
      </c>
      <c r="AY59" s="32">
        <f t="shared" si="66"/>
        <v>0</v>
      </c>
      <c r="AZ59" s="32">
        <f t="shared" si="66"/>
        <v>0</v>
      </c>
      <c r="BA59" s="32">
        <f t="shared" si="66"/>
        <v>0</v>
      </c>
      <c r="BB59" s="32">
        <f t="shared" si="66"/>
        <v>0</v>
      </c>
      <c r="BC59" s="32">
        <f t="shared" si="66"/>
        <v>0</v>
      </c>
      <c r="BD59" s="32">
        <f t="shared" si="66"/>
        <v>0</v>
      </c>
      <c r="BE59" s="32">
        <f t="shared" si="66"/>
        <v>0</v>
      </c>
      <c r="BF59" s="32">
        <f t="shared" si="66"/>
        <v>0</v>
      </c>
      <c r="BG59" s="32">
        <f t="shared" si="66"/>
        <v>0</v>
      </c>
      <c r="BH59" s="32">
        <f t="shared" si="66"/>
        <v>0</v>
      </c>
      <c r="BI59" s="32">
        <f t="shared" si="66"/>
        <v>0</v>
      </c>
      <c r="BJ59" s="32">
        <f t="shared" si="66"/>
        <v>0</v>
      </c>
      <c r="BK59" s="32">
        <f t="shared" si="66"/>
        <v>0</v>
      </c>
      <c r="BL59" s="32">
        <f t="shared" si="66"/>
        <v>0</v>
      </c>
      <c r="BM59" s="32">
        <f t="shared" si="66"/>
        <v>0</v>
      </c>
      <c r="BN59" s="32">
        <f t="shared" si="66"/>
        <v>0</v>
      </c>
      <c r="BO59" s="32">
        <f t="shared" si="66"/>
        <v>0</v>
      </c>
      <c r="BP59" s="32">
        <f t="shared" si="66"/>
        <v>0</v>
      </c>
      <c r="BQ59" s="32">
        <f t="shared" si="66"/>
        <v>0</v>
      </c>
      <c r="BR59" s="32">
        <f t="shared" si="66"/>
        <v>0</v>
      </c>
      <c r="BS59" s="32">
        <f t="shared" si="66"/>
        <v>0</v>
      </c>
      <c r="BT59" s="32">
        <f t="shared" si="66"/>
        <v>0</v>
      </c>
      <c r="BU59" s="32">
        <f t="shared" si="66"/>
        <v>0</v>
      </c>
      <c r="BV59" s="32">
        <f t="shared" si="66"/>
        <v>0</v>
      </c>
      <c r="BW59" s="32">
        <f t="shared" si="66"/>
        <v>0</v>
      </c>
      <c r="BX59" s="32">
        <f t="shared" si="66"/>
        <v>0</v>
      </c>
      <c r="BY59" s="32">
        <f t="shared" si="66"/>
        <v>0</v>
      </c>
      <c r="BZ59" s="32">
        <f t="shared" si="66"/>
        <v>0</v>
      </c>
      <c r="CA59" s="32">
        <f t="shared" si="66"/>
        <v>0</v>
      </c>
      <c r="CB59" s="32">
        <f t="shared" si="66"/>
        <v>0</v>
      </c>
      <c r="CC59" s="32">
        <f t="shared" si="66"/>
        <v>0</v>
      </c>
      <c r="CD59" s="32">
        <f t="shared" si="66"/>
        <v>0</v>
      </c>
      <c r="CE59" s="32">
        <f t="shared" si="66"/>
        <v>0</v>
      </c>
      <c r="CF59" s="32">
        <f t="shared" si="66"/>
        <v>0</v>
      </c>
      <c r="CG59" s="32">
        <f t="shared" si="66"/>
        <v>0</v>
      </c>
      <c r="CU59" s="28"/>
      <c r="CV59" s="28"/>
      <c r="CW59" s="28"/>
      <c r="CX59" s="28"/>
      <c r="CY59" s="28"/>
      <c r="CZ59" s="28"/>
      <c r="DA59" s="28"/>
      <c r="DB59" s="28"/>
      <c r="DC59" s="28"/>
      <c r="DD59" s="28"/>
      <c r="DE59" s="28"/>
      <c r="DF59" s="28"/>
      <c r="DG59" s="28"/>
    </row>
    <row r="60" spans="1:111" ht="16.8">
      <c r="C60" s="13"/>
      <c r="D60" s="28"/>
      <c r="E60" s="5"/>
      <c r="F60" s="23"/>
      <c r="G60" s="23"/>
      <c r="H60" s="23"/>
      <c r="I60" s="113"/>
      <c r="J60" s="7"/>
      <c r="K60" s="7"/>
      <c r="L60" s="34"/>
      <c r="M60" s="422"/>
      <c r="N60" s="422"/>
      <c r="O60" s="422"/>
      <c r="P60" s="422"/>
      <c r="Q60" s="422"/>
      <c r="R60" s="422"/>
      <c r="S60" s="422"/>
      <c r="T60" s="422"/>
      <c r="U60" s="422"/>
      <c r="V60" s="422"/>
      <c r="W60" s="422"/>
      <c r="X60" s="422"/>
      <c r="Y60" s="422"/>
    </row>
    <row r="61" spans="1:111" ht="19.2">
      <c r="C61" s="13"/>
      <c r="D61" s="28"/>
      <c r="E61" s="5"/>
      <c r="F61" s="23"/>
      <c r="G61" s="23"/>
      <c r="H61" s="23"/>
      <c r="I61" s="19" t="s">
        <v>625</v>
      </c>
      <c r="J61" s="19"/>
      <c r="K61" s="19"/>
      <c r="L61" s="19"/>
      <c r="M61" s="423"/>
      <c r="N61" s="423"/>
      <c r="O61" s="423"/>
      <c r="P61" s="423"/>
      <c r="Q61" s="423"/>
      <c r="R61" s="423"/>
      <c r="S61" s="423"/>
      <c r="T61" s="423"/>
      <c r="U61" s="423"/>
      <c r="V61" s="423"/>
      <c r="W61" s="423"/>
      <c r="X61" s="423"/>
      <c r="Y61" s="423"/>
    </row>
    <row r="62" spans="1:111" ht="4.95" customHeight="1">
      <c r="A62" s="212"/>
      <c r="B62" s="277"/>
      <c r="C62" s="13"/>
      <c r="D62" s="28"/>
      <c r="E62" s="5"/>
      <c r="F62" s="23"/>
      <c r="G62" s="23"/>
      <c r="H62" s="23"/>
      <c r="I62" s="23"/>
      <c r="J62" s="23"/>
      <c r="K62" s="23"/>
      <c r="L62" s="34"/>
      <c r="M62" s="419"/>
      <c r="N62" s="419"/>
      <c r="O62" s="419"/>
      <c r="P62" s="419"/>
      <c r="Q62" s="419"/>
      <c r="R62" s="419"/>
      <c r="S62" s="419"/>
      <c r="T62" s="419"/>
      <c r="U62" s="419"/>
      <c r="V62" s="419"/>
      <c r="W62" s="419"/>
      <c r="X62" s="419"/>
      <c r="Y62" s="419"/>
      <c r="Z62" s="435"/>
      <c r="AA62" s="3"/>
      <c r="AB62" s="3"/>
      <c r="AC62" s="341"/>
      <c r="AD62" s="3"/>
      <c r="AE62" s="3"/>
      <c r="AF62" s="3"/>
      <c r="AG62" s="3"/>
      <c r="AH62" s="3"/>
      <c r="AI62" s="3"/>
      <c r="AJ62" s="3"/>
      <c r="AK62" s="29"/>
      <c r="AL62" s="29"/>
      <c r="AM62" s="29"/>
      <c r="AX62" s="285"/>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72"/>
      <c r="CV62" s="72"/>
      <c r="CW62" s="72"/>
      <c r="CX62" s="72"/>
      <c r="CY62" s="72"/>
      <c r="CZ62" s="72"/>
      <c r="DA62" s="72"/>
      <c r="DB62" s="72"/>
      <c r="DC62" s="72"/>
      <c r="DD62" s="72"/>
      <c r="DE62" s="72"/>
      <c r="DF62" s="72"/>
      <c r="DG62" s="28"/>
    </row>
    <row r="63" spans="1:111" ht="16.8">
      <c r="B63" s="60" t="s">
        <v>137</v>
      </c>
      <c r="C63" s="13"/>
      <c r="D63" s="28"/>
      <c r="E63" s="5"/>
      <c r="F63" s="23"/>
      <c r="G63" s="23"/>
      <c r="H63" s="23"/>
      <c r="I63" s="40" t="s">
        <v>508</v>
      </c>
      <c r="J63" s="7"/>
      <c r="K63" s="7"/>
      <c r="L63" s="34"/>
      <c r="M63" s="422"/>
      <c r="N63" s="422"/>
      <c r="O63" s="422"/>
      <c r="P63" s="422"/>
      <c r="Q63" s="422"/>
      <c r="R63" s="422"/>
      <c r="S63" s="422"/>
      <c r="T63" s="422"/>
      <c r="U63" s="422"/>
      <c r="V63" s="422"/>
      <c r="W63" s="422"/>
      <c r="X63" s="422"/>
      <c r="Y63" s="422"/>
    </row>
    <row r="64" spans="1:111" ht="4.95" hidden="1" customHeight="1">
      <c r="A64" s="212" t="str">
        <f>"[AQ2;"&amp;B64&amp;"]"</f>
        <v>[AQ2;ACCT.BudgetType='IPRev']</v>
      </c>
      <c r="B64" s="277" t="str">
        <f>"ACCT.BudgetType='"&amp;B63&amp;"'"</f>
        <v>ACCT.BudgetType='IPRev'</v>
      </c>
      <c r="C64" s="13" t="s">
        <v>359</v>
      </c>
      <c r="D64" s="28"/>
      <c r="E64" s="5"/>
      <c r="F64" s="23"/>
      <c r="G64" s="23"/>
      <c r="H64" s="23"/>
      <c r="I64" s="23"/>
      <c r="J64" s="23"/>
      <c r="K64" s="23"/>
      <c r="L64" s="34"/>
      <c r="M64" s="419"/>
      <c r="N64" s="419"/>
      <c r="O64" s="419"/>
      <c r="P64" s="419"/>
      <c r="Q64" s="419"/>
      <c r="R64" s="419"/>
      <c r="S64" s="419"/>
      <c r="T64" s="419"/>
      <c r="U64" s="419"/>
      <c r="V64" s="419"/>
      <c r="W64" s="419"/>
      <c r="X64" s="419"/>
      <c r="Y64" s="419"/>
      <c r="Z64" s="435"/>
      <c r="AA64" s="3"/>
      <c r="AB64" s="3"/>
      <c r="AC64" s="341"/>
      <c r="AD64" s="3"/>
      <c r="AE64" s="3"/>
      <c r="AF64" s="3"/>
      <c r="AG64" s="3"/>
      <c r="AH64" s="3"/>
      <c r="AI64" s="3"/>
      <c r="AJ64" s="3"/>
      <c r="AK64" s="29"/>
      <c r="AL64" s="29"/>
      <c r="AM64" s="29"/>
      <c r="AX64" s="285"/>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72"/>
      <c r="CV64" s="72"/>
      <c r="CW64" s="72"/>
      <c r="CX64" s="72"/>
      <c r="CY64" s="72"/>
      <c r="CZ64" s="72"/>
      <c r="DA64" s="72"/>
      <c r="DB64" s="72"/>
      <c r="DC64" s="72"/>
      <c r="DD64" s="72"/>
      <c r="DE64" s="72"/>
      <c r="DF64" s="72"/>
      <c r="DG64" s="28"/>
    </row>
    <row r="65" spans="1:111" ht="4.95" customHeight="1">
      <c r="A65" s="212" t="s">
        <v>671</v>
      </c>
      <c r="B65" s="277"/>
      <c r="C65" s="13"/>
      <c r="D65" s="28"/>
      <c r="E65" s="5"/>
      <c r="F65" s="23"/>
      <c r="G65" s="23"/>
      <c r="H65" s="23"/>
      <c r="I65" s="23"/>
      <c r="J65" s="23"/>
      <c r="K65" s="23"/>
      <c r="L65" s="34"/>
      <c r="M65" s="419"/>
      <c r="N65" s="419"/>
      <c r="O65" s="419"/>
      <c r="P65" s="419"/>
      <c r="Q65" s="419"/>
      <c r="R65" s="419"/>
      <c r="S65" s="419"/>
      <c r="T65" s="419"/>
      <c r="U65" s="419"/>
      <c r="V65" s="419"/>
      <c r="W65" s="419"/>
      <c r="X65" s="419"/>
      <c r="Y65" s="419"/>
      <c r="Z65" s="435"/>
      <c r="AA65" s="3"/>
      <c r="AB65" s="3"/>
      <c r="AC65" s="341"/>
      <c r="AD65" s="3"/>
      <c r="AE65" s="3"/>
      <c r="AF65" s="3"/>
      <c r="AG65" s="3"/>
      <c r="AH65" s="3"/>
      <c r="AI65" s="3"/>
      <c r="AJ65" s="3"/>
      <c r="AK65" s="3"/>
      <c r="AL65" s="29"/>
      <c r="AM65" s="3"/>
      <c r="AX65" s="285"/>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72"/>
      <c r="CV65" s="72"/>
      <c r="CW65" s="72"/>
      <c r="CX65" s="72"/>
      <c r="CY65" s="72"/>
      <c r="CZ65" s="72"/>
      <c r="DA65" s="72"/>
      <c r="DB65" s="72"/>
      <c r="DC65" s="72"/>
      <c r="DD65" s="72"/>
      <c r="DE65" s="72"/>
      <c r="DF65" s="72"/>
      <c r="DG65" s="28"/>
    </row>
    <row r="66" spans="1:111" s="52" customFormat="1" ht="16.8">
      <c r="B66" s="60"/>
      <c r="C66" s="13"/>
      <c r="D66" s="28"/>
      <c r="E66" s="5"/>
      <c r="F66" s="39"/>
      <c r="G66" s="39"/>
      <c r="H66" s="39"/>
      <c r="I66" s="31" t="str">
        <f>"   Total "&amp;I63</f>
        <v xml:space="preserve">   Total Inpatient Revenue</v>
      </c>
      <c r="J66" s="31"/>
      <c r="K66" s="31"/>
      <c r="L66" s="31"/>
      <c r="M66" s="421">
        <f t="shared" ref="M66:Y66" si="67">SUM(M63:M65)</f>
        <v>0</v>
      </c>
      <c r="N66" s="421">
        <f t="shared" si="67"/>
        <v>0</v>
      </c>
      <c r="O66" s="421">
        <f t="shared" si="67"/>
        <v>0</v>
      </c>
      <c r="P66" s="421">
        <f t="shared" si="67"/>
        <v>0</v>
      </c>
      <c r="Q66" s="421">
        <f t="shared" si="67"/>
        <v>0</v>
      </c>
      <c r="R66" s="421">
        <f t="shared" si="67"/>
        <v>0</v>
      </c>
      <c r="S66" s="421">
        <f t="shared" si="67"/>
        <v>0</v>
      </c>
      <c r="T66" s="421">
        <f t="shared" si="67"/>
        <v>0</v>
      </c>
      <c r="U66" s="421">
        <f t="shared" si="67"/>
        <v>0</v>
      </c>
      <c r="V66" s="421">
        <f t="shared" si="67"/>
        <v>0</v>
      </c>
      <c r="W66" s="421">
        <f t="shared" si="67"/>
        <v>0</v>
      </c>
      <c r="X66" s="421">
        <f t="shared" si="67"/>
        <v>0</v>
      </c>
      <c r="Y66" s="421">
        <f t="shared" si="67"/>
        <v>0</v>
      </c>
      <c r="Z66" s="436"/>
      <c r="AC66" s="342"/>
      <c r="AK66" s="3"/>
      <c r="AM66" s="3"/>
      <c r="AN66" s="371"/>
      <c r="AO66" s="371"/>
      <c r="AP66" s="371"/>
      <c r="AQ66" s="391"/>
      <c r="AR66" s="362"/>
      <c r="AS66" s="362"/>
      <c r="AT66" s="362"/>
      <c r="AU66" s="371"/>
      <c r="AV66" s="371"/>
      <c r="AW66" s="371"/>
      <c r="AX66" s="292"/>
    </row>
    <row r="67" spans="1:111" ht="16.8">
      <c r="A67" s="212"/>
      <c r="B67" s="277"/>
      <c r="C67" s="13"/>
      <c r="D67" s="28"/>
      <c r="E67" s="5"/>
      <c r="F67" s="23"/>
      <c r="G67" s="23"/>
      <c r="H67" s="23"/>
      <c r="I67" s="23"/>
      <c r="J67" s="23"/>
      <c r="K67" s="23"/>
      <c r="L67" s="34"/>
      <c r="M67" s="419"/>
      <c r="N67" s="419"/>
      <c r="O67" s="419"/>
      <c r="P67" s="419"/>
      <c r="Q67" s="419"/>
      <c r="R67" s="419"/>
      <c r="S67" s="419"/>
      <c r="T67" s="419"/>
      <c r="U67" s="419"/>
      <c r="V67" s="419"/>
      <c r="W67" s="419"/>
      <c r="X67" s="419"/>
      <c r="Y67" s="419"/>
      <c r="Z67" s="435"/>
      <c r="AA67" s="3"/>
      <c r="AB67" s="3"/>
      <c r="AC67" s="341"/>
      <c r="AD67" s="3"/>
      <c r="AE67" s="3"/>
      <c r="AF67" s="3"/>
      <c r="AG67" s="3"/>
      <c r="AH67" s="3"/>
      <c r="AI67" s="3"/>
      <c r="AJ67" s="3"/>
      <c r="AK67" s="3"/>
      <c r="AL67" s="29"/>
      <c r="AM67" s="3"/>
      <c r="AX67" s="285"/>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72"/>
      <c r="CV67" s="72"/>
      <c r="CW67" s="72"/>
      <c r="CX67" s="72"/>
      <c r="CY67" s="72"/>
      <c r="CZ67" s="72"/>
      <c r="DA67" s="72"/>
      <c r="DB67" s="72"/>
      <c r="DC67" s="72"/>
      <c r="DD67" s="72"/>
      <c r="DE67" s="72"/>
      <c r="DF67" s="72"/>
      <c r="DG67" s="28"/>
    </row>
    <row r="68" spans="1:111" ht="16.8">
      <c r="B68" s="60" t="s">
        <v>457</v>
      </c>
      <c r="C68" s="13"/>
      <c r="D68" s="28"/>
      <c r="E68" s="5"/>
      <c r="F68" s="23"/>
      <c r="G68" s="23"/>
      <c r="H68" s="23"/>
      <c r="I68" s="40" t="s">
        <v>587</v>
      </c>
      <c r="J68" s="7"/>
      <c r="K68" s="7"/>
      <c r="L68" s="34"/>
      <c r="M68" s="419"/>
      <c r="N68" s="419"/>
      <c r="O68" s="419"/>
      <c r="P68" s="419"/>
      <c r="Q68" s="419"/>
      <c r="R68" s="419"/>
      <c r="S68" s="422"/>
      <c r="T68" s="422"/>
      <c r="U68" s="447"/>
      <c r="V68" s="422"/>
      <c r="W68" s="422"/>
      <c r="X68" s="422"/>
      <c r="Y68" s="422"/>
      <c r="AK68" s="3"/>
      <c r="AM68" s="3"/>
    </row>
    <row r="69" spans="1:111" ht="4.95" hidden="1" customHeight="1">
      <c r="A69" s="212" t="str">
        <f>"[AQ2;"&amp;B69&amp;"]"</f>
        <v>[AQ2;ACCT.BudgetType='OPRev']</v>
      </c>
      <c r="B69" s="277" t="str">
        <f>"ACCT.BudgetType='"&amp;B68&amp;"'"</f>
        <v>ACCT.BudgetType='OPRev'</v>
      </c>
      <c r="C69" s="13" t="s">
        <v>359</v>
      </c>
      <c r="D69" s="28"/>
      <c r="E69" s="5"/>
      <c r="F69" s="23"/>
      <c r="G69" s="23"/>
      <c r="H69" s="23"/>
      <c r="I69" s="23"/>
      <c r="J69" s="23"/>
      <c r="K69" s="23"/>
      <c r="L69" s="34"/>
      <c r="M69" s="419"/>
      <c r="N69" s="419"/>
      <c r="O69" s="419"/>
      <c r="P69" s="419"/>
      <c r="Q69" s="419"/>
      <c r="R69" s="419"/>
      <c r="S69" s="419"/>
      <c r="T69" s="419"/>
      <c r="U69" s="419"/>
      <c r="V69" s="419"/>
      <c r="W69" s="419"/>
      <c r="X69" s="419"/>
      <c r="Y69" s="419"/>
      <c r="Z69" s="435"/>
      <c r="AA69" s="3"/>
      <c r="AB69" s="3"/>
      <c r="AC69" s="341"/>
      <c r="AD69" s="3"/>
      <c r="AE69" s="3"/>
      <c r="AF69" s="3"/>
      <c r="AG69" s="3"/>
      <c r="AH69" s="3"/>
      <c r="AI69" s="3"/>
      <c r="AJ69" s="3"/>
      <c r="AK69" s="3">
        <f t="shared" ref="AK69" si="68">IF(AM69=0,IF(LEFT(K69,2)="IP",22,IF(LEFT(K69,2)="OP",23,IF(LEFT(K69,2)="Ot",24,25))),AM69)</f>
        <v>25</v>
      </c>
      <c r="AL69" s="29"/>
      <c r="AM69" s="3"/>
      <c r="AX69" s="285"/>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72"/>
      <c r="CV69" s="72"/>
      <c r="CW69" s="72"/>
      <c r="CX69" s="72"/>
      <c r="CY69" s="72"/>
      <c r="CZ69" s="72"/>
      <c r="DA69" s="72"/>
      <c r="DB69" s="72"/>
      <c r="DC69" s="72"/>
      <c r="DD69" s="72"/>
      <c r="DE69" s="72"/>
      <c r="DF69" s="72"/>
      <c r="DG69" s="28"/>
    </row>
    <row r="70" spans="1:111" ht="4.95" customHeight="1">
      <c r="A70" s="212" t="s">
        <v>671</v>
      </c>
      <c r="B70" s="277"/>
      <c r="C70" s="13"/>
      <c r="D70" s="28"/>
      <c r="E70" s="5"/>
      <c r="F70" s="23"/>
      <c r="G70" s="23"/>
      <c r="H70" s="23"/>
      <c r="I70" s="23"/>
      <c r="J70" s="23"/>
      <c r="K70" s="23"/>
      <c r="L70" s="34"/>
      <c r="M70" s="419"/>
      <c r="N70" s="419"/>
      <c r="O70" s="419"/>
      <c r="P70" s="419"/>
      <c r="Q70" s="419"/>
      <c r="R70" s="419"/>
      <c r="S70" s="419"/>
      <c r="T70" s="419"/>
      <c r="U70" s="419"/>
      <c r="V70" s="419"/>
      <c r="W70" s="419"/>
      <c r="X70" s="419"/>
      <c r="Y70" s="419"/>
      <c r="Z70" s="435"/>
      <c r="AA70" s="3"/>
      <c r="AB70" s="3"/>
      <c r="AC70" s="341"/>
      <c r="AD70" s="375"/>
      <c r="AE70" s="375"/>
      <c r="AF70" s="375"/>
      <c r="AG70" s="375"/>
      <c r="AH70" s="3"/>
      <c r="AI70" s="3"/>
      <c r="AJ70" s="3"/>
      <c r="AK70" s="29"/>
      <c r="AL70" s="29"/>
      <c r="AM70" s="3"/>
      <c r="AX70" s="285"/>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72"/>
      <c r="CV70" s="72"/>
      <c r="CW70" s="72"/>
      <c r="CX70" s="72"/>
      <c r="CY70" s="72"/>
      <c r="CZ70" s="72"/>
      <c r="DA70" s="72"/>
      <c r="DB70" s="72"/>
      <c r="DC70" s="72"/>
      <c r="DD70" s="72"/>
      <c r="DE70" s="72"/>
      <c r="DF70" s="72"/>
      <c r="DG70" s="28"/>
    </row>
    <row r="71" spans="1:111" s="52" customFormat="1" ht="16.8">
      <c r="B71" s="60"/>
      <c r="C71" s="13"/>
      <c r="D71" s="28"/>
      <c r="E71" s="5"/>
      <c r="F71" s="39"/>
      <c r="G71" s="39"/>
      <c r="H71" s="39"/>
      <c r="I71" s="31" t="str">
        <f>"   Total "&amp;I68</f>
        <v xml:space="preserve">   Total Outpatient Revenue</v>
      </c>
      <c r="J71" s="31"/>
      <c r="K71" s="31"/>
      <c r="L71" s="31"/>
      <c r="M71" s="421">
        <f t="shared" ref="M71:Y71" si="69">SUM(M68:M70)</f>
        <v>0</v>
      </c>
      <c r="N71" s="421">
        <f t="shared" si="69"/>
        <v>0</v>
      </c>
      <c r="O71" s="421">
        <f t="shared" si="69"/>
        <v>0</v>
      </c>
      <c r="P71" s="421">
        <f t="shared" si="69"/>
        <v>0</v>
      </c>
      <c r="Q71" s="421">
        <f t="shared" si="69"/>
        <v>0</v>
      </c>
      <c r="R71" s="421">
        <f t="shared" si="69"/>
        <v>0</v>
      </c>
      <c r="S71" s="421">
        <f t="shared" si="69"/>
        <v>0</v>
      </c>
      <c r="T71" s="421">
        <f t="shared" si="69"/>
        <v>0</v>
      </c>
      <c r="U71" s="421">
        <f t="shared" si="69"/>
        <v>0</v>
      </c>
      <c r="V71" s="421">
        <f t="shared" si="69"/>
        <v>0</v>
      </c>
      <c r="W71" s="421">
        <f t="shared" si="69"/>
        <v>0</v>
      </c>
      <c r="X71" s="421">
        <f t="shared" si="69"/>
        <v>0</v>
      </c>
      <c r="Y71" s="421">
        <f t="shared" si="69"/>
        <v>0</v>
      </c>
      <c r="Z71" s="436"/>
      <c r="AC71" s="342"/>
      <c r="AN71" s="371"/>
      <c r="AO71" s="371"/>
      <c r="AP71" s="371"/>
      <c r="AQ71" s="391"/>
      <c r="AR71" s="362"/>
      <c r="AS71" s="362"/>
      <c r="AT71" s="362"/>
      <c r="AU71" s="371"/>
      <c r="AV71" s="371"/>
      <c r="AW71" s="371"/>
      <c r="AX71" s="292"/>
    </row>
    <row r="72" spans="1:111" ht="4.95" customHeight="1">
      <c r="A72" s="212"/>
      <c r="B72" s="277"/>
      <c r="C72" s="13"/>
      <c r="D72" s="28"/>
      <c r="E72" s="5"/>
      <c r="F72" s="23"/>
      <c r="G72" s="23"/>
      <c r="H72" s="23"/>
      <c r="I72" s="23"/>
      <c r="J72" s="23"/>
      <c r="K72" s="23"/>
      <c r="L72" s="34"/>
      <c r="M72" s="419"/>
      <c r="N72" s="419"/>
      <c r="O72" s="419"/>
      <c r="P72" s="419"/>
      <c r="Q72" s="419"/>
      <c r="R72" s="419"/>
      <c r="S72" s="447"/>
      <c r="T72" s="447"/>
      <c r="U72" s="419"/>
      <c r="V72" s="419"/>
      <c r="W72" s="419"/>
      <c r="X72" s="419"/>
      <c r="Y72" s="419"/>
      <c r="Z72" s="435"/>
      <c r="AA72" s="3"/>
      <c r="AB72" s="3"/>
      <c r="AC72" s="341"/>
      <c r="AD72" s="3"/>
      <c r="AE72" s="3"/>
      <c r="AF72" s="3"/>
      <c r="AG72" s="3"/>
      <c r="AH72" s="3"/>
      <c r="AI72" s="3"/>
      <c r="AJ72" s="3"/>
      <c r="AK72" s="29"/>
      <c r="AL72" s="29"/>
      <c r="AM72" s="29"/>
      <c r="AX72" s="285"/>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72"/>
      <c r="CV72" s="72"/>
      <c r="CW72" s="72"/>
      <c r="CX72" s="72"/>
      <c r="CY72" s="72"/>
      <c r="CZ72" s="72"/>
      <c r="DA72" s="72"/>
      <c r="DB72" s="72"/>
      <c r="DC72" s="72"/>
      <c r="DD72" s="72"/>
      <c r="DE72" s="72"/>
      <c r="DF72" s="72"/>
      <c r="DG72" s="28"/>
    </row>
    <row r="73" spans="1:111" ht="16.8">
      <c r="B73" s="60" t="s">
        <v>300</v>
      </c>
      <c r="C73" s="13"/>
      <c r="D73" s="28"/>
      <c r="E73" s="5"/>
      <c r="F73" s="23"/>
      <c r="G73" s="23"/>
      <c r="H73" s="23"/>
      <c r="I73" s="40" t="s">
        <v>93</v>
      </c>
      <c r="J73" s="7"/>
      <c r="K73" s="7"/>
      <c r="L73" s="34"/>
      <c r="M73" s="419"/>
      <c r="N73" s="419"/>
      <c r="O73" s="419"/>
      <c r="P73" s="419"/>
      <c r="Q73" s="419"/>
      <c r="R73" s="419"/>
      <c r="S73" s="447"/>
      <c r="T73" s="447"/>
      <c r="U73" s="447"/>
      <c r="V73" s="422"/>
      <c r="W73" s="422"/>
      <c r="X73" s="422"/>
      <c r="Y73" s="422"/>
    </row>
    <row r="74" spans="1:111" ht="4.95" hidden="1" customHeight="1">
      <c r="A74" s="212" t="str">
        <f>"[AQ2;"&amp;B74&amp;"]"</f>
        <v>[AQ2;ACCT.BudgetType='OthPtRev']</v>
      </c>
      <c r="B74" s="277" t="str">
        <f>"ACCT.BudgetType='"&amp;B73&amp;"'"</f>
        <v>ACCT.BudgetType='OthPtRev'</v>
      </c>
      <c r="C74" s="13" t="s">
        <v>359</v>
      </c>
      <c r="D74" s="28"/>
      <c r="E74" s="5"/>
      <c r="F74" s="23"/>
      <c r="G74" s="23"/>
      <c r="H74" s="23"/>
      <c r="I74" s="23"/>
      <c r="J74" s="23"/>
      <c r="K74" s="23"/>
      <c r="L74" s="34"/>
      <c r="M74" s="419"/>
      <c r="N74" s="419"/>
      <c r="O74" s="419"/>
      <c r="P74" s="419"/>
      <c r="Q74" s="419"/>
      <c r="R74" s="419"/>
      <c r="S74" s="419"/>
      <c r="T74" s="419"/>
      <c r="U74" s="419"/>
      <c r="V74" s="419"/>
      <c r="W74" s="419"/>
      <c r="X74" s="419"/>
      <c r="Y74" s="419"/>
      <c r="Z74" s="435"/>
      <c r="AA74" s="3"/>
      <c r="AB74" s="3"/>
      <c r="AC74" s="341"/>
      <c r="AD74" s="3"/>
      <c r="AE74" s="3"/>
      <c r="AF74" s="3"/>
      <c r="AG74" s="3"/>
      <c r="AH74" s="3"/>
      <c r="AI74" s="3"/>
      <c r="AJ74" s="3"/>
      <c r="AK74" s="29"/>
      <c r="AL74" s="29"/>
      <c r="AM74" s="29"/>
      <c r="AX74" s="285"/>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72"/>
      <c r="CV74" s="72"/>
      <c r="CW74" s="72"/>
      <c r="CX74" s="72"/>
      <c r="CY74" s="72"/>
      <c r="CZ74" s="72"/>
      <c r="DA74" s="72"/>
      <c r="DB74" s="72"/>
      <c r="DC74" s="72"/>
      <c r="DD74" s="72"/>
      <c r="DE74" s="72"/>
      <c r="DF74" s="72"/>
      <c r="DG74" s="28"/>
    </row>
    <row r="75" spans="1:111" ht="4.95" customHeight="1">
      <c r="A75" s="212" t="s">
        <v>671</v>
      </c>
      <c r="B75" s="277"/>
      <c r="C75" s="13"/>
      <c r="D75" s="28"/>
      <c r="E75" s="5"/>
      <c r="F75" s="23"/>
      <c r="G75" s="23"/>
      <c r="H75" s="23"/>
      <c r="I75" s="23"/>
      <c r="J75" s="23"/>
      <c r="K75" s="23"/>
      <c r="L75" s="34"/>
      <c r="M75" s="419"/>
      <c r="N75" s="419"/>
      <c r="O75" s="419"/>
      <c r="P75" s="419"/>
      <c r="Q75" s="419"/>
      <c r="R75" s="419"/>
      <c r="S75" s="419"/>
      <c r="T75" s="419"/>
      <c r="U75" s="419"/>
      <c r="V75" s="419"/>
      <c r="W75" s="419"/>
      <c r="X75" s="419"/>
      <c r="Y75" s="419"/>
      <c r="Z75" s="435"/>
      <c r="AA75" s="3"/>
      <c r="AB75" s="3"/>
      <c r="AC75" s="341"/>
      <c r="AD75" s="3"/>
      <c r="AE75" s="3"/>
      <c r="AF75" s="3"/>
      <c r="AG75" s="3"/>
      <c r="AH75" s="3"/>
      <c r="AI75" s="3"/>
      <c r="AJ75" s="3"/>
      <c r="AK75" s="29"/>
      <c r="AL75" s="29"/>
      <c r="AM75" s="29"/>
      <c r="AX75" s="285"/>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72"/>
      <c r="CV75" s="72"/>
      <c r="CW75" s="72"/>
      <c r="CX75" s="72"/>
      <c r="CY75" s="72"/>
      <c r="CZ75" s="72"/>
      <c r="DA75" s="72"/>
      <c r="DB75" s="72"/>
      <c r="DC75" s="72"/>
      <c r="DD75" s="72"/>
      <c r="DE75" s="72"/>
      <c r="DF75" s="72"/>
      <c r="DG75" s="28"/>
    </row>
    <row r="76" spans="1:111" s="52" customFormat="1" ht="16.8">
      <c r="B76" s="60"/>
      <c r="C76" s="13"/>
      <c r="D76" s="28"/>
      <c r="E76" s="5"/>
      <c r="F76" s="39"/>
      <c r="G76" s="39"/>
      <c r="H76" s="39"/>
      <c r="I76" s="31" t="str">
        <f>"   Total "&amp;I73</f>
        <v xml:space="preserve">   Total Other Patient Revenue</v>
      </c>
      <c r="J76" s="31"/>
      <c r="K76" s="31"/>
      <c r="L76" s="31"/>
      <c r="M76" s="421">
        <f t="shared" ref="M76:Y76" si="70">SUM(M73:M75)</f>
        <v>0</v>
      </c>
      <c r="N76" s="421">
        <f t="shared" si="70"/>
        <v>0</v>
      </c>
      <c r="O76" s="421">
        <f t="shared" si="70"/>
        <v>0</v>
      </c>
      <c r="P76" s="421">
        <f t="shared" si="70"/>
        <v>0</v>
      </c>
      <c r="Q76" s="421">
        <f t="shared" si="70"/>
        <v>0</v>
      </c>
      <c r="R76" s="421">
        <f t="shared" si="70"/>
        <v>0</v>
      </c>
      <c r="S76" s="421">
        <f t="shared" si="70"/>
        <v>0</v>
      </c>
      <c r="T76" s="421">
        <f t="shared" si="70"/>
        <v>0</v>
      </c>
      <c r="U76" s="421">
        <f t="shared" si="70"/>
        <v>0</v>
      </c>
      <c r="V76" s="421">
        <f t="shared" si="70"/>
        <v>0</v>
      </c>
      <c r="W76" s="421">
        <f t="shared" si="70"/>
        <v>0</v>
      </c>
      <c r="X76" s="421">
        <f t="shared" si="70"/>
        <v>0</v>
      </c>
      <c r="Y76" s="421">
        <f t="shared" si="70"/>
        <v>0</v>
      </c>
      <c r="Z76" s="436"/>
      <c r="AC76" s="342"/>
      <c r="AN76" s="371"/>
      <c r="AO76" s="371"/>
      <c r="AP76" s="371"/>
      <c r="AQ76" s="391"/>
      <c r="AR76" s="362"/>
      <c r="AS76" s="362"/>
      <c r="AT76" s="362"/>
      <c r="AU76" s="371"/>
      <c r="AV76" s="371"/>
      <c r="AW76" s="371"/>
      <c r="AX76" s="292"/>
    </row>
    <row r="77" spans="1:111" ht="4.95" customHeight="1">
      <c r="A77" s="212"/>
      <c r="B77" s="277"/>
      <c r="C77" s="13"/>
      <c r="D77" s="28"/>
      <c r="E77" s="5"/>
      <c r="F77" s="23"/>
      <c r="G77" s="23"/>
      <c r="H77" s="23"/>
      <c r="I77" s="23"/>
      <c r="J77" s="23"/>
      <c r="K77" s="23"/>
      <c r="L77" s="34"/>
      <c r="M77" s="419"/>
      <c r="N77" s="419"/>
      <c r="O77" s="419"/>
      <c r="P77" s="419"/>
      <c r="Q77" s="419"/>
      <c r="R77" s="419"/>
      <c r="S77" s="419"/>
      <c r="T77" s="419"/>
      <c r="U77" s="419"/>
      <c r="V77" s="419"/>
      <c r="W77" s="419"/>
      <c r="X77" s="419"/>
      <c r="Y77" s="419"/>
      <c r="Z77" s="435"/>
      <c r="AA77" s="3"/>
      <c r="AB77" s="3"/>
      <c r="AC77" s="341"/>
      <c r="AD77" s="3"/>
      <c r="AE77" s="3"/>
      <c r="AF77" s="3"/>
      <c r="AG77" s="3"/>
      <c r="AH77" s="3"/>
      <c r="AI77" s="3"/>
      <c r="AJ77" s="3"/>
      <c r="AK77" s="29"/>
      <c r="AL77" s="29"/>
      <c r="AM77" s="29"/>
      <c r="AX77" s="285"/>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72"/>
      <c r="CV77" s="72"/>
      <c r="CW77" s="72"/>
      <c r="CX77" s="72"/>
      <c r="CY77" s="72"/>
      <c r="CZ77" s="72"/>
      <c r="DA77" s="72"/>
      <c r="DB77" s="72"/>
      <c r="DC77" s="72"/>
      <c r="DD77" s="72"/>
      <c r="DE77" s="72"/>
      <c r="DF77" s="72"/>
      <c r="DG77" s="28"/>
    </row>
    <row r="78" spans="1:111" ht="16.8">
      <c r="B78" s="60" t="s">
        <v>626</v>
      </c>
      <c r="C78" s="13"/>
      <c r="D78" s="28"/>
      <c r="E78" s="5"/>
      <c r="F78" s="23"/>
      <c r="G78" s="23"/>
      <c r="H78" s="23"/>
      <c r="I78" s="40" t="s">
        <v>759</v>
      </c>
      <c r="J78" s="7"/>
      <c r="K78" s="7"/>
      <c r="L78" s="34"/>
      <c r="M78" s="419"/>
      <c r="N78" s="419"/>
      <c r="O78" s="419"/>
      <c r="P78" s="419"/>
      <c r="Q78" s="419"/>
      <c r="R78" s="419"/>
      <c r="S78" s="422"/>
      <c r="T78" s="422"/>
      <c r="U78" s="422"/>
      <c r="V78" s="422"/>
      <c r="W78" s="422"/>
      <c r="X78" s="422"/>
      <c r="Y78" s="422"/>
    </row>
    <row r="79" spans="1:111" ht="4.95" hidden="1" customHeight="1">
      <c r="A79" s="212" t="str">
        <f>"[AQ3;"&amp;B79&amp;"]"</f>
        <v>[AQ3;ACCT.BudgetType='OtherRev']</v>
      </c>
      <c r="B79" s="277" t="str">
        <f>"ACCT.BudgetType='"&amp;B78&amp;"'"</f>
        <v>ACCT.BudgetType='OtherRev'</v>
      </c>
      <c r="C79" s="13" t="s">
        <v>359</v>
      </c>
      <c r="D79" s="28"/>
      <c r="E79" s="5"/>
      <c r="F79" s="23"/>
      <c r="G79" s="23"/>
      <c r="H79" s="23"/>
      <c r="I79" s="23"/>
      <c r="J79" s="23"/>
      <c r="K79" s="23"/>
      <c r="L79" s="34"/>
      <c r="M79" s="419"/>
      <c r="N79" s="419"/>
      <c r="O79" s="419"/>
      <c r="P79" s="419"/>
      <c r="Q79" s="419"/>
      <c r="R79" s="419"/>
      <c r="S79" s="419"/>
      <c r="T79" s="419"/>
      <c r="U79" s="419"/>
      <c r="V79" s="419"/>
      <c r="W79" s="419"/>
      <c r="X79" s="419"/>
      <c r="Y79" s="419"/>
      <c r="Z79" s="435"/>
      <c r="AA79" s="3"/>
      <c r="AB79" s="3"/>
      <c r="AC79" s="341"/>
      <c r="AD79" s="3"/>
      <c r="AE79" s="3"/>
      <c r="AF79" s="3"/>
      <c r="AG79" s="3"/>
      <c r="AH79" s="3"/>
      <c r="AI79" s="3"/>
      <c r="AJ79" s="3"/>
      <c r="AK79" s="29"/>
      <c r="AL79" s="29"/>
      <c r="AM79" s="29"/>
      <c r="AX79" s="285"/>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72"/>
      <c r="CV79" s="72"/>
      <c r="CW79" s="72"/>
      <c r="CX79" s="72"/>
      <c r="CY79" s="72"/>
      <c r="CZ79" s="72"/>
      <c r="DA79" s="72"/>
      <c r="DB79" s="72"/>
      <c r="DC79" s="72"/>
      <c r="DD79" s="72"/>
      <c r="DE79" s="72"/>
      <c r="DF79" s="72"/>
      <c r="DG79" s="28"/>
    </row>
    <row r="80" spans="1:111" ht="4.95" customHeight="1">
      <c r="A80" s="212" t="s">
        <v>671</v>
      </c>
      <c r="B80" s="277"/>
      <c r="C80" s="13"/>
      <c r="D80" s="28"/>
      <c r="E80" s="5"/>
      <c r="F80" s="23"/>
      <c r="G80" s="23"/>
      <c r="H80" s="23"/>
      <c r="I80" s="23"/>
      <c r="J80" s="23"/>
      <c r="K80" s="23"/>
      <c r="L80" s="34"/>
      <c r="M80" s="419"/>
      <c r="N80" s="419"/>
      <c r="O80" s="419"/>
      <c r="P80" s="419"/>
      <c r="Q80" s="419"/>
      <c r="R80" s="419"/>
      <c r="S80" s="419"/>
      <c r="T80" s="419"/>
      <c r="U80" s="419"/>
      <c r="V80" s="419"/>
      <c r="W80" s="419"/>
      <c r="X80" s="419"/>
      <c r="Y80" s="419"/>
      <c r="Z80" s="435"/>
      <c r="AA80" s="3"/>
      <c r="AB80" s="3"/>
      <c r="AC80" s="341"/>
      <c r="AD80" s="3"/>
      <c r="AE80" s="3"/>
      <c r="AF80" s="3"/>
      <c r="AG80" s="3"/>
      <c r="AH80" s="3"/>
      <c r="AI80" s="3"/>
      <c r="AJ80" s="3"/>
      <c r="AK80" s="29"/>
      <c r="AL80" s="29"/>
      <c r="AM80" s="29"/>
      <c r="AX80" s="285"/>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72"/>
      <c r="CV80" s="72"/>
      <c r="CW80" s="72"/>
      <c r="CX80" s="72"/>
      <c r="CY80" s="72"/>
      <c r="CZ80" s="72"/>
      <c r="DA80" s="72"/>
      <c r="DB80" s="72"/>
      <c r="DC80" s="72"/>
      <c r="DD80" s="72"/>
      <c r="DE80" s="72"/>
      <c r="DF80" s="72"/>
      <c r="DG80" s="28"/>
    </row>
    <row r="81" spans="1:111" s="52" customFormat="1" ht="16.8">
      <c r="B81" s="60"/>
      <c r="C81" s="13"/>
      <c r="D81" s="28"/>
      <c r="E81" s="5"/>
      <c r="F81" s="39"/>
      <c r="G81" s="39"/>
      <c r="H81" s="39"/>
      <c r="I81" s="31" t="str">
        <f>"   Total "&amp;I78</f>
        <v xml:space="preserve">   Total Other Revenue</v>
      </c>
      <c r="J81" s="31"/>
      <c r="K81" s="31"/>
      <c r="L81" s="31"/>
      <c r="M81" s="421">
        <f t="shared" ref="M81:Y81" si="71">SUM(M78:M80)</f>
        <v>0</v>
      </c>
      <c r="N81" s="421">
        <f t="shared" si="71"/>
        <v>0</v>
      </c>
      <c r="O81" s="421">
        <f t="shared" si="71"/>
        <v>0</v>
      </c>
      <c r="P81" s="421">
        <f t="shared" si="71"/>
        <v>0</v>
      </c>
      <c r="Q81" s="421">
        <f t="shared" si="71"/>
        <v>0</v>
      </c>
      <c r="R81" s="421">
        <f t="shared" si="71"/>
        <v>0</v>
      </c>
      <c r="S81" s="421">
        <f t="shared" si="71"/>
        <v>0</v>
      </c>
      <c r="T81" s="421">
        <f t="shared" si="71"/>
        <v>0</v>
      </c>
      <c r="U81" s="421">
        <f t="shared" si="71"/>
        <v>0</v>
      </c>
      <c r="V81" s="421">
        <f t="shared" si="71"/>
        <v>0</v>
      </c>
      <c r="W81" s="421">
        <f t="shared" si="71"/>
        <v>0</v>
      </c>
      <c r="X81" s="421">
        <f t="shared" si="71"/>
        <v>0</v>
      </c>
      <c r="Y81" s="421">
        <f t="shared" si="71"/>
        <v>0</v>
      </c>
      <c r="Z81" s="436"/>
      <c r="AC81" s="342"/>
      <c r="AN81" s="371"/>
      <c r="AO81" s="371"/>
      <c r="AP81" s="371"/>
      <c r="AQ81" s="391"/>
      <c r="AR81" s="362"/>
      <c r="AS81" s="362"/>
      <c r="AT81" s="362"/>
      <c r="AU81" s="371"/>
      <c r="AV81" s="371"/>
      <c r="AW81" s="371"/>
      <c r="AX81" s="292"/>
    </row>
    <row r="82" spans="1:111" ht="4.95" customHeight="1">
      <c r="A82" s="212"/>
      <c r="B82" s="277"/>
      <c r="C82" s="13"/>
      <c r="D82" s="28"/>
      <c r="E82" s="5"/>
      <c r="F82" s="23"/>
      <c r="G82" s="23"/>
      <c r="H82" s="23"/>
      <c r="I82" s="23"/>
      <c r="J82" s="23"/>
      <c r="K82" s="23"/>
      <c r="L82" s="34"/>
      <c r="M82" s="419"/>
      <c r="N82" s="419"/>
      <c r="O82" s="419"/>
      <c r="P82" s="419"/>
      <c r="Q82" s="419"/>
      <c r="R82" s="419"/>
      <c r="S82" s="419"/>
      <c r="T82" s="419"/>
      <c r="U82" s="419"/>
      <c r="V82" s="419"/>
      <c r="W82" s="419"/>
      <c r="X82" s="419"/>
      <c r="Y82" s="419"/>
      <c r="Z82" s="435"/>
      <c r="AA82" s="3"/>
      <c r="AB82" s="3"/>
      <c r="AC82" s="341"/>
      <c r="AD82" s="3"/>
      <c r="AE82" s="3"/>
      <c r="AF82" s="3"/>
      <c r="AG82" s="3"/>
      <c r="AH82" s="3"/>
      <c r="AI82" s="3"/>
      <c r="AJ82" s="3"/>
      <c r="AK82" s="29"/>
      <c r="AL82" s="29"/>
      <c r="AM82" s="29"/>
      <c r="AX82" s="285"/>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72"/>
      <c r="CV82" s="72"/>
      <c r="CW82" s="72"/>
      <c r="CX82" s="72"/>
      <c r="CY82" s="72"/>
      <c r="CZ82" s="72"/>
      <c r="DA82" s="72"/>
      <c r="DB82" s="72"/>
      <c r="DC82" s="72"/>
      <c r="DD82" s="72"/>
      <c r="DE82" s="72"/>
      <c r="DF82" s="72"/>
      <c r="DG82" s="28"/>
    </row>
    <row r="83" spans="1:111" ht="16.8">
      <c r="B83" s="60" t="s">
        <v>459</v>
      </c>
      <c r="C83" s="13"/>
      <c r="D83" s="28"/>
      <c r="E83" s="5"/>
      <c r="F83" s="23"/>
      <c r="G83" s="23"/>
      <c r="H83" s="23"/>
      <c r="I83" s="40" t="s">
        <v>56</v>
      </c>
      <c r="J83" s="7"/>
      <c r="K83" s="7"/>
      <c r="L83" s="34"/>
      <c r="M83" s="419"/>
      <c r="N83" s="419"/>
      <c r="O83" s="419"/>
      <c r="P83" s="419"/>
      <c r="Q83" s="419"/>
      <c r="R83" s="419"/>
      <c r="S83" s="422"/>
      <c r="T83" s="422"/>
      <c r="U83" s="422"/>
      <c r="V83" s="422"/>
      <c r="W83" s="422"/>
      <c r="X83" s="422"/>
      <c r="Y83" s="422"/>
    </row>
    <row r="84" spans="1:111" ht="4.95" hidden="1" customHeight="1">
      <c r="A84" s="212" t="str">
        <f>"[AQ3;"&amp;B84&amp;"]"</f>
        <v>[AQ3;ACCT.BudgetType='Deduction']</v>
      </c>
      <c r="B84" s="277" t="str">
        <f>"ACCT.BudgetType='"&amp;B83&amp;"'"</f>
        <v>ACCT.BudgetType='Deduction'</v>
      </c>
      <c r="C84" s="13" t="s">
        <v>359</v>
      </c>
      <c r="D84" s="28"/>
      <c r="E84" s="5"/>
      <c r="F84" s="23"/>
      <c r="G84" s="23"/>
      <c r="H84" s="23"/>
      <c r="I84" s="23"/>
      <c r="J84" s="23"/>
      <c r="K84" s="23"/>
      <c r="L84" s="34"/>
      <c r="M84" s="419"/>
      <c r="N84" s="419"/>
      <c r="O84" s="419"/>
      <c r="P84" s="419"/>
      <c r="Q84" s="419"/>
      <c r="R84" s="419"/>
      <c r="S84" s="419"/>
      <c r="T84" s="419"/>
      <c r="U84" s="419"/>
      <c r="V84" s="419"/>
      <c r="W84" s="419"/>
      <c r="X84" s="419"/>
      <c r="Y84" s="419"/>
      <c r="Z84" s="435"/>
      <c r="AA84" s="3"/>
      <c r="AB84" s="3"/>
      <c r="AC84" s="341"/>
      <c r="AD84" s="3"/>
      <c r="AE84" s="3"/>
      <c r="AF84" s="3"/>
      <c r="AG84" s="3"/>
      <c r="AH84" s="3"/>
      <c r="AI84" s="3"/>
      <c r="AJ84" s="3"/>
      <c r="AK84" s="29"/>
      <c r="AL84" s="29"/>
      <c r="AM84" s="29"/>
      <c r="AX84" s="285"/>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72"/>
      <c r="CV84" s="72"/>
      <c r="CW84" s="72"/>
      <c r="CX84" s="72"/>
      <c r="CY84" s="72"/>
      <c r="CZ84" s="72"/>
      <c r="DA84" s="72"/>
      <c r="DB84" s="72"/>
      <c r="DC84" s="72"/>
      <c r="DD84" s="72"/>
      <c r="DE84" s="72"/>
      <c r="DF84" s="72"/>
      <c r="DG84" s="28"/>
    </row>
    <row r="85" spans="1:111" ht="4.95" customHeight="1">
      <c r="A85" s="212" t="s">
        <v>671</v>
      </c>
      <c r="B85" s="277"/>
      <c r="C85" s="13"/>
      <c r="D85" s="28"/>
      <c r="E85" s="5"/>
      <c r="F85" s="23"/>
      <c r="G85" s="23"/>
      <c r="H85" s="23"/>
      <c r="I85" s="23"/>
      <c r="J85" s="23"/>
      <c r="K85" s="23"/>
      <c r="L85" s="34"/>
      <c r="M85" s="419"/>
      <c r="N85" s="419"/>
      <c r="O85" s="419"/>
      <c r="P85" s="419"/>
      <c r="Q85" s="419"/>
      <c r="R85" s="419"/>
      <c r="S85" s="419"/>
      <c r="T85" s="419"/>
      <c r="U85" s="419"/>
      <c r="V85" s="419"/>
      <c r="W85" s="419"/>
      <c r="X85" s="419"/>
      <c r="Y85" s="419"/>
      <c r="Z85" s="435"/>
      <c r="AA85" s="3"/>
      <c r="AB85" s="3"/>
      <c r="AC85" s="341"/>
      <c r="AD85" s="3"/>
      <c r="AE85" s="3"/>
      <c r="AF85" s="3"/>
      <c r="AG85" s="3"/>
      <c r="AH85" s="3"/>
      <c r="AI85" s="3"/>
      <c r="AJ85" s="3"/>
      <c r="AK85" s="29"/>
      <c r="AL85" s="29"/>
      <c r="AM85" s="29"/>
      <c r="AX85" s="285"/>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72"/>
      <c r="CV85" s="72"/>
      <c r="CW85" s="72"/>
      <c r="CX85" s="72"/>
      <c r="CY85" s="72"/>
      <c r="CZ85" s="72"/>
      <c r="DA85" s="72"/>
      <c r="DB85" s="72"/>
      <c r="DC85" s="72"/>
      <c r="DD85" s="72"/>
      <c r="DE85" s="72"/>
      <c r="DF85" s="72"/>
      <c r="DG85" s="28"/>
    </row>
    <row r="86" spans="1:111" s="52" customFormat="1" ht="16.8">
      <c r="B86" s="60"/>
      <c r="C86" s="13"/>
      <c r="D86" s="28"/>
      <c r="E86" s="5"/>
      <c r="F86" s="39"/>
      <c r="G86" s="39"/>
      <c r="H86" s="39"/>
      <c r="I86" s="31" t="str">
        <f>"   Total "&amp;I83</f>
        <v xml:space="preserve">   Total Deductions &amp; Allowances</v>
      </c>
      <c r="J86" s="31"/>
      <c r="K86" s="31"/>
      <c r="L86" s="31"/>
      <c r="M86" s="421">
        <f t="shared" ref="M86:Y86" si="72">SUM(M83:M85)</f>
        <v>0</v>
      </c>
      <c r="N86" s="421">
        <f t="shared" si="72"/>
        <v>0</v>
      </c>
      <c r="O86" s="421">
        <f t="shared" si="72"/>
        <v>0</v>
      </c>
      <c r="P86" s="421">
        <f t="shared" si="72"/>
        <v>0</v>
      </c>
      <c r="Q86" s="421">
        <f t="shared" si="72"/>
        <v>0</v>
      </c>
      <c r="R86" s="421">
        <f t="shared" si="72"/>
        <v>0</v>
      </c>
      <c r="S86" s="421">
        <f t="shared" si="72"/>
        <v>0</v>
      </c>
      <c r="T86" s="421">
        <f t="shared" si="72"/>
        <v>0</v>
      </c>
      <c r="U86" s="421">
        <f t="shared" si="72"/>
        <v>0</v>
      </c>
      <c r="V86" s="421">
        <f t="shared" si="72"/>
        <v>0</v>
      </c>
      <c r="W86" s="421">
        <f t="shared" si="72"/>
        <v>0</v>
      </c>
      <c r="X86" s="421">
        <f t="shared" si="72"/>
        <v>0</v>
      </c>
      <c r="Y86" s="421">
        <f t="shared" si="72"/>
        <v>0</v>
      </c>
      <c r="Z86" s="436"/>
      <c r="AC86" s="342"/>
      <c r="AN86" s="371"/>
      <c r="AO86" s="371"/>
      <c r="AP86" s="371"/>
      <c r="AQ86" s="391"/>
      <c r="AR86" s="362"/>
      <c r="AS86" s="362"/>
      <c r="AT86" s="362"/>
      <c r="AU86" s="371"/>
      <c r="AV86" s="371"/>
      <c r="AW86" s="371"/>
      <c r="AX86" s="292"/>
    </row>
    <row r="87" spans="1:111" ht="4.95" customHeight="1">
      <c r="A87" s="212"/>
      <c r="B87" s="277"/>
      <c r="C87" s="13"/>
      <c r="D87" s="28"/>
      <c r="E87" s="5"/>
      <c r="F87" s="23"/>
      <c r="G87" s="23"/>
      <c r="H87" s="23"/>
      <c r="I87" s="23"/>
      <c r="J87" s="23"/>
      <c r="K87" s="23"/>
      <c r="L87" s="34"/>
      <c r="M87" s="419"/>
      <c r="N87" s="419"/>
      <c r="O87" s="419"/>
      <c r="P87" s="419"/>
      <c r="Q87" s="419"/>
      <c r="R87" s="419"/>
      <c r="S87" s="419"/>
      <c r="T87" s="419"/>
      <c r="U87" s="419"/>
      <c r="V87" s="419"/>
      <c r="W87" s="419"/>
      <c r="X87" s="419"/>
      <c r="Y87" s="419"/>
      <c r="Z87" s="435"/>
      <c r="AA87" s="3"/>
      <c r="AB87" s="3"/>
      <c r="AC87" s="341"/>
      <c r="AD87" s="3"/>
      <c r="AE87" s="3"/>
      <c r="AF87" s="3"/>
      <c r="AG87" s="3"/>
      <c r="AH87" s="3"/>
      <c r="AI87" s="3"/>
      <c r="AJ87" s="3"/>
      <c r="AK87" s="29"/>
      <c r="AL87" s="29"/>
      <c r="AM87" s="29"/>
      <c r="AX87" s="285"/>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72"/>
      <c r="CV87" s="72"/>
      <c r="CW87" s="72"/>
      <c r="CX87" s="72"/>
      <c r="CY87" s="72"/>
      <c r="CZ87" s="72"/>
      <c r="DA87" s="72"/>
      <c r="DB87" s="72"/>
      <c r="DC87" s="72"/>
      <c r="DD87" s="72"/>
      <c r="DE87" s="72"/>
      <c r="DF87" s="72"/>
      <c r="DG87" s="28"/>
    </row>
    <row r="88" spans="1:111" ht="16.8">
      <c r="C88" s="13"/>
      <c r="D88" s="28"/>
      <c r="E88" s="5"/>
      <c r="F88" s="23"/>
      <c r="G88" s="23"/>
      <c r="H88" s="23"/>
      <c r="I88" s="31" t="s">
        <v>873</v>
      </c>
      <c r="J88" s="31"/>
      <c r="K88" s="31"/>
      <c r="L88" s="31"/>
      <c r="M88" s="421">
        <f t="shared" ref="M88:Y88" si="73">M66+M71+M76+M81-M86</f>
        <v>0</v>
      </c>
      <c r="N88" s="421">
        <f t="shared" si="73"/>
        <v>0</v>
      </c>
      <c r="O88" s="421">
        <f t="shared" si="73"/>
        <v>0</v>
      </c>
      <c r="P88" s="421">
        <f t="shared" si="73"/>
        <v>0</v>
      </c>
      <c r="Q88" s="421">
        <f t="shared" si="73"/>
        <v>0</v>
      </c>
      <c r="R88" s="421">
        <f t="shared" si="73"/>
        <v>0</v>
      </c>
      <c r="S88" s="421">
        <f t="shared" si="73"/>
        <v>0</v>
      </c>
      <c r="T88" s="421">
        <f t="shared" si="73"/>
        <v>0</v>
      </c>
      <c r="U88" s="421">
        <f t="shared" si="73"/>
        <v>0</v>
      </c>
      <c r="V88" s="421">
        <f t="shared" si="73"/>
        <v>0</v>
      </c>
      <c r="W88" s="421">
        <f t="shared" si="73"/>
        <v>0</v>
      </c>
      <c r="X88" s="421">
        <f t="shared" si="73"/>
        <v>0</v>
      </c>
      <c r="Y88" s="421">
        <f t="shared" si="73"/>
        <v>0</v>
      </c>
    </row>
    <row r="89" spans="1:111" ht="4.95" customHeight="1">
      <c r="A89" s="212"/>
      <c r="B89" s="277"/>
      <c r="C89" s="13"/>
      <c r="D89" s="28"/>
      <c r="E89" s="5"/>
      <c r="F89" s="23"/>
      <c r="G89" s="23"/>
      <c r="H89" s="23"/>
      <c r="I89" s="23"/>
      <c r="J89" s="23"/>
      <c r="K89" s="23"/>
      <c r="L89" s="34"/>
      <c r="M89" s="419"/>
      <c r="N89" s="419"/>
      <c r="O89" s="419"/>
      <c r="P89" s="419"/>
      <c r="Q89" s="419"/>
      <c r="R89" s="419"/>
      <c r="S89" s="419"/>
      <c r="T89" s="419"/>
      <c r="U89" s="419"/>
      <c r="V89" s="419"/>
      <c r="W89" s="419"/>
      <c r="X89" s="419"/>
      <c r="Y89" s="419"/>
      <c r="Z89" s="435"/>
      <c r="AA89" s="3"/>
      <c r="AB89" s="3"/>
      <c r="AC89" s="341"/>
      <c r="AD89" s="3"/>
      <c r="AE89" s="3"/>
      <c r="AF89" s="3"/>
      <c r="AG89" s="3"/>
      <c r="AH89" s="3"/>
      <c r="AI89" s="3"/>
      <c r="AJ89" s="3"/>
      <c r="AK89" s="29"/>
      <c r="AL89" s="29"/>
      <c r="AM89" s="29"/>
      <c r="AX89" s="285"/>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72"/>
      <c r="CV89" s="72"/>
      <c r="CW89" s="72"/>
      <c r="CX89" s="72"/>
      <c r="CY89" s="72"/>
      <c r="CZ89" s="72"/>
      <c r="DA89" s="72"/>
      <c r="DB89" s="72"/>
      <c r="DC89" s="72"/>
      <c r="DD89" s="72"/>
      <c r="DE89" s="72"/>
      <c r="DF89" s="72"/>
      <c r="DG89" s="28"/>
    </row>
    <row r="90" spans="1:111" ht="16.8">
      <c r="B90" s="60" t="s">
        <v>182</v>
      </c>
      <c r="C90" s="13"/>
      <c r="D90" s="28"/>
      <c r="E90" s="5"/>
      <c r="F90" s="23"/>
      <c r="G90" s="23"/>
      <c r="H90" s="23"/>
      <c r="I90" s="40" t="s">
        <v>375</v>
      </c>
      <c r="J90" s="7"/>
      <c r="K90" s="7"/>
      <c r="L90" s="34"/>
      <c r="M90" s="419"/>
      <c r="N90" s="419"/>
      <c r="O90" s="419"/>
      <c r="P90" s="419"/>
      <c r="Q90" s="419"/>
      <c r="R90" s="419"/>
      <c r="S90" s="422"/>
      <c r="T90" s="422"/>
      <c r="U90" s="422"/>
      <c r="V90" s="422"/>
      <c r="W90" s="422"/>
      <c r="X90" s="422"/>
      <c r="Y90" s="422"/>
    </row>
    <row r="91" spans="1:111" ht="4.95" hidden="1" customHeight="1">
      <c r="A91" s="111" t="str">
        <f>"[AQ6;"&amp;B91&amp;"]"</f>
        <v>[AQ6;ACCT.BudgetType='PaidHours']</v>
      </c>
      <c r="B91" s="60" t="str">
        <f>"ACCT.BudgetType='"&amp;B90&amp;"'"</f>
        <v>ACCT.BudgetType='PaidHours'</v>
      </c>
      <c r="C91" s="13" t="s">
        <v>359</v>
      </c>
      <c r="D91" s="28"/>
      <c r="E91" s="5"/>
      <c r="F91" s="23"/>
      <c r="G91" s="23"/>
      <c r="H91" s="23"/>
      <c r="I91" s="23"/>
      <c r="J91" s="23"/>
      <c r="K91" s="78"/>
      <c r="L91" s="34"/>
      <c r="M91" s="419"/>
      <c r="N91" s="419"/>
      <c r="O91" s="419"/>
      <c r="P91" s="419"/>
      <c r="Q91" s="419"/>
      <c r="R91" s="419"/>
      <c r="S91" s="419"/>
      <c r="T91" s="419"/>
      <c r="U91" s="419"/>
      <c r="V91" s="419"/>
      <c r="W91" s="419"/>
      <c r="X91" s="419"/>
      <c r="Y91" s="419"/>
      <c r="Z91" s="435"/>
      <c r="AA91" s="3"/>
      <c r="AB91" s="3"/>
      <c r="AC91" s="341"/>
      <c r="AD91" s="3"/>
      <c r="AE91" s="3"/>
      <c r="AF91" s="3"/>
      <c r="AG91" s="3"/>
      <c r="AH91" s="29"/>
      <c r="AI91" s="29"/>
      <c r="AJ91" s="29"/>
      <c r="AK91" s="29"/>
      <c r="AL91" s="29"/>
      <c r="AM91" s="29"/>
      <c r="AX91" s="285"/>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row>
    <row r="92" spans="1:111" ht="4.95" customHeight="1">
      <c r="A92" s="16" t="s">
        <v>671</v>
      </c>
      <c r="C92" s="13"/>
      <c r="D92" s="28"/>
      <c r="E92" s="5"/>
      <c r="F92" s="23"/>
      <c r="G92" s="23"/>
      <c r="H92" s="23"/>
      <c r="I92" s="23"/>
      <c r="J92" s="23"/>
      <c r="K92" s="78"/>
      <c r="L92" s="34"/>
      <c r="M92" s="424"/>
      <c r="N92" s="424"/>
      <c r="O92" s="424"/>
      <c r="P92" s="424"/>
      <c r="Q92" s="424"/>
      <c r="R92" s="424"/>
      <c r="S92" s="424"/>
      <c r="T92" s="424"/>
      <c r="U92" s="424"/>
      <c r="V92" s="424"/>
      <c r="W92" s="424"/>
      <c r="X92" s="424"/>
      <c r="Y92" s="424"/>
      <c r="Z92" s="430"/>
      <c r="AA92" s="29"/>
      <c r="AB92" s="29"/>
      <c r="AC92" s="335"/>
      <c r="AD92" s="29"/>
      <c r="AE92" s="29"/>
      <c r="AF92" s="29"/>
      <c r="AG92" s="29"/>
      <c r="AH92" s="29"/>
      <c r="AI92" s="29"/>
      <c r="AJ92" s="29"/>
      <c r="AK92" s="29"/>
      <c r="AL92" s="29"/>
      <c r="AM92" s="29"/>
      <c r="AX92" s="285"/>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row>
    <row r="93" spans="1:111" ht="17.399999999999999" thickBot="1">
      <c r="A93" s="52"/>
      <c r="C93" s="13"/>
      <c r="D93" s="28"/>
      <c r="E93" s="5"/>
      <c r="F93" s="39"/>
      <c r="G93" s="39"/>
      <c r="H93" s="39"/>
      <c r="I93" s="31" t="str">
        <f>"  Total "&amp;I90</f>
        <v xml:space="preserve">  Total Paid Hours</v>
      </c>
      <c r="J93" s="31"/>
      <c r="K93" s="31"/>
      <c r="L93" s="31"/>
      <c r="M93" s="421">
        <f t="shared" ref="M93:Y93" si="74">SUM(M90:M92)</f>
        <v>0</v>
      </c>
      <c r="N93" s="421">
        <f t="shared" si="74"/>
        <v>0</v>
      </c>
      <c r="O93" s="421">
        <f t="shared" si="74"/>
        <v>0</v>
      </c>
      <c r="P93" s="421">
        <f t="shared" si="74"/>
        <v>0</v>
      </c>
      <c r="Q93" s="421">
        <f t="shared" si="74"/>
        <v>0</v>
      </c>
      <c r="R93" s="421">
        <f t="shared" si="74"/>
        <v>0</v>
      </c>
      <c r="S93" s="421">
        <f t="shared" si="74"/>
        <v>0</v>
      </c>
      <c r="T93" s="421">
        <f t="shared" si="74"/>
        <v>0</v>
      </c>
      <c r="U93" s="421">
        <f t="shared" si="74"/>
        <v>0</v>
      </c>
      <c r="V93" s="421">
        <f t="shared" si="74"/>
        <v>0</v>
      </c>
      <c r="W93" s="421">
        <f t="shared" si="74"/>
        <v>0</v>
      </c>
      <c r="X93" s="421">
        <f t="shared" si="74"/>
        <v>0</v>
      </c>
      <c r="Y93" s="421">
        <f t="shared" si="74"/>
        <v>0</v>
      </c>
      <c r="AJ93" s="150" t="s">
        <v>180</v>
      </c>
      <c r="AK93" s="150">
        <f>IF(ISERROR(MATCH((9&amp;H99)*1,H$1:H$92,0)),ROW(L$93),MATCH((9&amp;H99)*1,H$1:H$92,0))</f>
        <v>93</v>
      </c>
      <c r="AL93" s="150"/>
      <c r="AM93" s="150"/>
      <c r="AN93" s="402">
        <f t="shared" ref="AN93:AW93" si="75">SUM(AN90:AN92)</f>
        <v>0</v>
      </c>
      <c r="AO93" s="402">
        <f t="shared" si="75"/>
        <v>0</v>
      </c>
      <c r="AP93" s="402">
        <f t="shared" si="75"/>
        <v>0</v>
      </c>
      <c r="AQ93" s="403">
        <f t="shared" si="75"/>
        <v>0</v>
      </c>
      <c r="AR93" s="404">
        <f t="shared" si="75"/>
        <v>0</v>
      </c>
      <c r="AS93" s="404">
        <f t="shared" si="75"/>
        <v>0</v>
      </c>
      <c r="AT93" s="404">
        <f t="shared" si="75"/>
        <v>0</v>
      </c>
      <c r="AU93" s="402">
        <f t="shared" si="75"/>
        <v>0</v>
      </c>
      <c r="AV93" s="402">
        <f t="shared" si="75"/>
        <v>0</v>
      </c>
      <c r="AW93" s="405">
        <f t="shared" si="75"/>
        <v>0</v>
      </c>
    </row>
    <row r="94" spans="1:111" ht="16.8">
      <c r="A94" s="52"/>
      <c r="C94" s="13"/>
      <c r="D94" s="28"/>
      <c r="E94" s="5"/>
      <c r="F94" s="39"/>
      <c r="G94" s="39"/>
      <c r="H94" s="39"/>
      <c r="I94" s="31" t="s">
        <v>425</v>
      </c>
      <c r="J94" s="31"/>
      <c r="K94" s="31"/>
      <c r="L94" s="31"/>
      <c r="M94" s="425">
        <f t="shared" ref="M94:Y94" si="76">M93/M19</f>
        <v>0</v>
      </c>
      <c r="N94" s="425">
        <f t="shared" si="76"/>
        <v>0</v>
      </c>
      <c r="O94" s="425">
        <f t="shared" si="76"/>
        <v>0</v>
      </c>
      <c r="P94" s="425">
        <f t="shared" si="76"/>
        <v>0</v>
      </c>
      <c r="Q94" s="425">
        <f t="shared" si="76"/>
        <v>0</v>
      </c>
      <c r="R94" s="425">
        <f t="shared" si="76"/>
        <v>0</v>
      </c>
      <c r="S94" s="425">
        <f t="shared" si="76"/>
        <v>0</v>
      </c>
      <c r="T94" s="425">
        <f t="shared" si="76"/>
        <v>0</v>
      </c>
      <c r="U94" s="425">
        <f t="shared" si="76"/>
        <v>0</v>
      </c>
      <c r="V94" s="425">
        <f t="shared" si="76"/>
        <v>0</v>
      </c>
      <c r="W94" s="425">
        <f t="shared" si="76"/>
        <v>0</v>
      </c>
      <c r="X94" s="425">
        <f t="shared" si="76"/>
        <v>0</v>
      </c>
      <c r="Y94" s="425">
        <f t="shared" si="76"/>
        <v>0</v>
      </c>
      <c r="CH94" s="29"/>
      <c r="CI94" s="29"/>
      <c r="CJ94" s="29"/>
      <c r="CK94" s="29"/>
      <c r="CL94" s="29"/>
      <c r="CM94" s="29"/>
      <c r="CN94" s="29"/>
      <c r="CO94" s="29"/>
      <c r="CP94" s="29"/>
      <c r="CQ94" s="29"/>
      <c r="CR94" s="29"/>
      <c r="CS94" s="29"/>
    </row>
    <row r="95" spans="1:111" ht="4.95" customHeight="1">
      <c r="A95" s="212"/>
      <c r="B95" s="277"/>
      <c r="C95" s="13"/>
      <c r="D95" s="28"/>
      <c r="E95" s="5"/>
      <c r="F95" s="23"/>
      <c r="G95" s="23"/>
      <c r="H95" s="23"/>
      <c r="I95" s="23"/>
      <c r="J95" s="23"/>
      <c r="K95" s="23"/>
      <c r="L95" s="34"/>
      <c r="M95" s="419"/>
      <c r="N95" s="419"/>
      <c r="O95" s="419"/>
      <c r="P95" s="419"/>
      <c r="Q95" s="419"/>
      <c r="R95" s="419"/>
      <c r="S95" s="419"/>
      <c r="T95" s="419"/>
      <c r="U95" s="419"/>
      <c r="V95" s="419"/>
      <c r="W95" s="419"/>
      <c r="X95" s="419"/>
      <c r="Y95" s="419"/>
      <c r="Z95" s="435"/>
      <c r="AA95" s="3"/>
      <c r="AB95" s="3"/>
      <c r="AC95" s="341"/>
      <c r="AD95" s="3"/>
      <c r="AE95" s="3"/>
      <c r="AF95" s="3"/>
      <c r="AG95" s="3"/>
      <c r="AH95" s="3"/>
      <c r="AI95" s="3"/>
      <c r="AJ95" s="3"/>
      <c r="AK95" s="29"/>
      <c r="AL95" s="29"/>
      <c r="AM95" s="29"/>
      <c r="AX95" s="285"/>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72"/>
      <c r="CV95" s="72"/>
      <c r="CW95" s="72"/>
      <c r="CX95" s="72"/>
      <c r="CY95" s="72"/>
      <c r="CZ95" s="72"/>
      <c r="DA95" s="72"/>
      <c r="DB95" s="72"/>
      <c r="DC95" s="72"/>
      <c r="DD95" s="72"/>
      <c r="DE95" s="72"/>
      <c r="DF95" s="72"/>
      <c r="DG95" s="28"/>
    </row>
    <row r="96" spans="1:111" ht="19.2">
      <c r="C96" s="13"/>
      <c r="D96" s="28"/>
      <c r="E96" s="5"/>
      <c r="F96" s="23"/>
      <c r="G96" s="23"/>
      <c r="H96" s="23"/>
      <c r="I96" s="19" t="s">
        <v>627</v>
      </c>
      <c r="J96" s="19"/>
      <c r="K96" s="19"/>
      <c r="L96" s="19"/>
      <c r="M96" s="423"/>
      <c r="N96" s="423"/>
      <c r="O96" s="423"/>
      <c r="P96" s="423"/>
      <c r="Q96" s="423"/>
      <c r="R96" s="423"/>
      <c r="S96" s="423"/>
      <c r="T96" s="423"/>
      <c r="U96" s="423"/>
      <c r="V96" s="423"/>
      <c r="W96" s="423"/>
      <c r="X96" s="423"/>
      <c r="Y96" s="423"/>
      <c r="CU96" s="3"/>
      <c r="CV96" s="3"/>
      <c r="CW96" s="3"/>
      <c r="CX96" s="3"/>
      <c r="CY96" s="3"/>
      <c r="CZ96" s="3"/>
      <c r="DA96" s="3"/>
      <c r="DB96" s="3"/>
      <c r="DC96" s="3"/>
      <c r="DD96" s="3"/>
      <c r="DE96" s="3"/>
      <c r="DF96" s="3"/>
    </row>
    <row r="97" spans="1:111" ht="4.95" customHeight="1">
      <c r="A97" s="212"/>
      <c r="B97" s="277"/>
      <c r="C97" s="13"/>
      <c r="D97" s="28"/>
      <c r="E97" s="5"/>
      <c r="F97" s="23"/>
      <c r="G97" s="23"/>
      <c r="H97" s="23"/>
      <c r="I97" s="23"/>
      <c r="J97" s="23"/>
      <c r="K97" s="23"/>
      <c r="L97" s="34"/>
      <c r="M97" s="419"/>
      <c r="N97" s="419"/>
      <c r="O97" s="419"/>
      <c r="P97" s="419"/>
      <c r="Q97" s="419"/>
      <c r="R97" s="419"/>
      <c r="S97" s="419"/>
      <c r="T97" s="419"/>
      <c r="U97" s="419"/>
      <c r="V97" s="419"/>
      <c r="W97" s="419"/>
      <c r="X97" s="419"/>
      <c r="Y97" s="419"/>
      <c r="Z97" s="435"/>
      <c r="AA97" s="3"/>
      <c r="AB97" s="3"/>
      <c r="AC97" s="341"/>
      <c r="AD97" s="3"/>
      <c r="AE97" s="3"/>
      <c r="AF97" s="3"/>
      <c r="AG97" s="3"/>
      <c r="AH97" s="3"/>
      <c r="AI97" s="3"/>
      <c r="AJ97" s="3"/>
      <c r="AK97" s="29"/>
      <c r="AL97" s="29"/>
      <c r="AM97" s="29"/>
      <c r="AX97" s="285"/>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72"/>
      <c r="CV97" s="72"/>
      <c r="CW97" s="72"/>
      <c r="CX97" s="72"/>
      <c r="CY97" s="72"/>
      <c r="CZ97" s="72"/>
      <c r="DA97" s="72"/>
      <c r="DB97" s="72"/>
      <c r="DC97" s="72"/>
      <c r="DD97" s="72"/>
      <c r="DE97" s="72"/>
      <c r="DF97" s="72"/>
      <c r="DG97" s="28"/>
    </row>
    <row r="98" spans="1:111" ht="16.8">
      <c r="B98" s="60" t="s">
        <v>57</v>
      </c>
      <c r="C98" s="13"/>
      <c r="D98" s="28"/>
      <c r="E98" s="5"/>
      <c r="F98" s="23"/>
      <c r="G98" s="23"/>
      <c r="H98" s="23"/>
      <c r="I98" s="40" t="s">
        <v>57</v>
      </c>
      <c r="J98" s="7"/>
      <c r="K98" s="7"/>
      <c r="L98" s="34"/>
      <c r="M98" s="419"/>
      <c r="N98" s="419"/>
      <c r="O98" s="419"/>
      <c r="P98" s="419"/>
      <c r="Q98" s="419"/>
      <c r="R98" s="419"/>
      <c r="S98" s="422"/>
      <c r="T98" s="422"/>
      <c r="U98" s="422"/>
      <c r="V98" s="422"/>
      <c r="W98" s="422"/>
      <c r="X98" s="422"/>
      <c r="Y98" s="422"/>
      <c r="CS98" s="426"/>
      <c r="CT98" s="427"/>
      <c r="CU98" s="427"/>
      <c r="CV98" s="427"/>
      <c r="CW98" s="427"/>
      <c r="CX98" s="427"/>
      <c r="CY98" s="427"/>
      <c r="CZ98" s="427"/>
      <c r="DA98" s="427"/>
      <c r="DB98" s="427"/>
      <c r="DC98" s="427"/>
      <c r="DD98" s="427"/>
      <c r="DE98" s="427"/>
      <c r="DF98" s="427"/>
      <c r="DG98" s="427"/>
    </row>
    <row r="99" spans="1:111" ht="4.95" hidden="1" customHeight="1">
      <c r="A99" s="174" t="str">
        <f>"[AQ4;"&amp;B99&amp;"]"</f>
        <v>[AQ4;ACCT.BudgetType='Salaries']</v>
      </c>
      <c r="B99" s="60" t="str">
        <f>"ACCT.BudgetType='"&amp;B98&amp;"'"</f>
        <v>ACCT.BudgetType='Salaries'</v>
      </c>
      <c r="C99" s="13" t="s">
        <v>359</v>
      </c>
      <c r="D99" s="28"/>
      <c r="E99" s="5"/>
      <c r="F99" s="23"/>
      <c r="G99" s="23"/>
      <c r="H99" s="23"/>
      <c r="I99" s="23"/>
      <c r="J99" s="23"/>
      <c r="K99" s="78"/>
      <c r="L99" s="34"/>
      <c r="M99" s="419"/>
      <c r="N99" s="419"/>
      <c r="O99" s="419"/>
      <c r="P99" s="419"/>
      <c r="Q99" s="419"/>
      <c r="R99" s="419"/>
      <c r="S99" s="419"/>
      <c r="T99" s="419"/>
      <c r="U99" s="419"/>
      <c r="V99" s="419"/>
      <c r="W99" s="419"/>
      <c r="X99" s="419"/>
      <c r="Y99" s="419"/>
      <c r="Z99" s="435"/>
      <c r="AA99" s="3"/>
      <c r="AB99" s="3"/>
      <c r="AC99" s="341"/>
      <c r="AD99" s="3"/>
      <c r="AE99" s="3"/>
      <c r="AF99" s="3"/>
      <c r="AG99" s="3"/>
      <c r="AH99" s="29"/>
      <c r="AI99" s="29"/>
      <c r="AJ99" s="29"/>
      <c r="AK99" s="29"/>
      <c r="AL99" s="29"/>
      <c r="AM99" s="29"/>
      <c r="AX99" s="285"/>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428"/>
      <c r="CT99" s="427"/>
      <c r="CU99" s="427"/>
      <c r="CV99" s="427"/>
      <c r="CW99" s="427"/>
      <c r="CX99" s="427"/>
      <c r="CY99" s="427"/>
      <c r="CZ99" s="427"/>
      <c r="DA99" s="427"/>
      <c r="DB99" s="427"/>
      <c r="DC99" s="427"/>
      <c r="DD99" s="427"/>
      <c r="DE99" s="427"/>
      <c r="DF99" s="427"/>
      <c r="DG99" s="427"/>
    </row>
    <row r="100" spans="1:111" ht="4.95" customHeight="1">
      <c r="A100" s="20" t="s">
        <v>671</v>
      </c>
      <c r="C100" s="13"/>
      <c r="D100" s="28"/>
      <c r="E100" s="5"/>
      <c r="F100" s="23"/>
      <c r="G100" s="23"/>
      <c r="H100" s="23"/>
      <c r="I100" s="23"/>
      <c r="J100" s="23"/>
      <c r="K100" s="78"/>
      <c r="L100" s="34"/>
      <c r="M100" s="424"/>
      <c r="N100" s="424"/>
      <c r="O100" s="424"/>
      <c r="P100" s="424"/>
      <c r="Q100" s="424"/>
      <c r="R100" s="424"/>
      <c r="S100" s="424"/>
      <c r="T100" s="424"/>
      <c r="U100" s="424"/>
      <c r="V100" s="424"/>
      <c r="W100" s="424"/>
      <c r="X100" s="424"/>
      <c r="Y100" s="424"/>
      <c r="Z100" s="430"/>
      <c r="AA100" s="29"/>
      <c r="AB100" s="29"/>
      <c r="AC100" s="335"/>
      <c r="AD100" s="29"/>
      <c r="AE100" s="29"/>
      <c r="AF100" s="29"/>
      <c r="AG100" s="29"/>
      <c r="AH100" s="29"/>
      <c r="AI100" s="29"/>
      <c r="AJ100" s="29"/>
      <c r="AK100" s="29"/>
      <c r="AL100" s="29"/>
      <c r="AM100" s="29"/>
      <c r="AX100" s="285"/>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row>
    <row r="101" spans="1:111" ht="17.399999999999999" thickBot="1">
      <c r="A101" s="52"/>
      <c r="B101" s="60" t="s">
        <v>509</v>
      </c>
      <c r="C101" s="13"/>
      <c r="D101" s="28"/>
      <c r="E101" s="5"/>
      <c r="F101" s="39"/>
      <c r="G101" s="39"/>
      <c r="H101" s="39"/>
      <c r="I101" s="31" t="str">
        <f>"   Total "&amp;I98</f>
        <v xml:space="preserve">   Total Salaries</v>
      </c>
      <c r="J101" s="31"/>
      <c r="K101" s="31"/>
      <c r="L101" s="31"/>
      <c r="M101" s="421">
        <f t="shared" ref="M101:Y101" si="77">SUM(M98:M100)</f>
        <v>0</v>
      </c>
      <c r="N101" s="421">
        <f t="shared" si="77"/>
        <v>0</v>
      </c>
      <c r="O101" s="421">
        <f t="shared" si="77"/>
        <v>0</v>
      </c>
      <c r="P101" s="421">
        <f t="shared" si="77"/>
        <v>0</v>
      </c>
      <c r="Q101" s="421">
        <f t="shared" si="77"/>
        <v>0</v>
      </c>
      <c r="R101" s="421">
        <f t="shared" si="77"/>
        <v>0</v>
      </c>
      <c r="S101" s="421">
        <f t="shared" si="77"/>
        <v>0</v>
      </c>
      <c r="T101" s="421">
        <f t="shared" si="77"/>
        <v>0</v>
      </c>
      <c r="U101" s="421">
        <f t="shared" si="77"/>
        <v>0</v>
      </c>
      <c r="V101" s="421">
        <f t="shared" si="77"/>
        <v>0</v>
      </c>
      <c r="W101" s="421">
        <f t="shared" si="77"/>
        <v>0</v>
      </c>
      <c r="X101" s="421">
        <f t="shared" si="77"/>
        <v>0</v>
      </c>
      <c r="Y101" s="421">
        <f t="shared" si="77"/>
        <v>0</v>
      </c>
      <c r="AN101" s="402">
        <f t="shared" ref="AN101:AW101" si="78">SUM(AN98:AN100)</f>
        <v>0</v>
      </c>
      <c r="AO101" s="402">
        <f t="shared" si="78"/>
        <v>0</v>
      </c>
      <c r="AP101" s="402">
        <f t="shared" si="78"/>
        <v>0</v>
      </c>
      <c r="AQ101" s="403">
        <f t="shared" si="78"/>
        <v>0</v>
      </c>
      <c r="AR101" s="404">
        <f t="shared" si="78"/>
        <v>0</v>
      </c>
      <c r="AS101" s="404">
        <f t="shared" si="78"/>
        <v>0</v>
      </c>
      <c r="AT101" s="404">
        <f t="shared" si="78"/>
        <v>0</v>
      </c>
      <c r="AU101" s="402">
        <f t="shared" si="78"/>
        <v>0</v>
      </c>
      <c r="AV101" s="402">
        <f t="shared" si="78"/>
        <v>0</v>
      </c>
      <c r="AW101" s="405">
        <f t="shared" si="78"/>
        <v>0</v>
      </c>
    </row>
    <row r="102" spans="1:111" ht="4.95" customHeight="1">
      <c r="A102" s="212"/>
      <c r="B102" s="277"/>
      <c r="C102" s="13"/>
      <c r="D102" s="28"/>
      <c r="E102" s="5"/>
      <c r="F102" s="23"/>
      <c r="G102" s="23"/>
      <c r="H102" s="23"/>
      <c r="I102" s="23"/>
      <c r="J102" s="23"/>
      <c r="K102" s="23"/>
      <c r="L102" s="34"/>
      <c r="M102" s="419"/>
      <c r="N102" s="419"/>
      <c r="O102" s="419"/>
      <c r="P102" s="419"/>
      <c r="Q102" s="419"/>
      <c r="R102" s="419"/>
      <c r="S102" s="419"/>
      <c r="T102" s="419"/>
      <c r="U102" s="419"/>
      <c r="V102" s="419"/>
      <c r="W102" s="419"/>
      <c r="X102" s="419"/>
      <c r="Y102" s="419"/>
      <c r="Z102" s="435"/>
      <c r="AA102" s="3"/>
      <c r="AB102" s="3"/>
      <c r="AC102" s="341"/>
      <c r="AD102" s="3"/>
      <c r="AE102" s="3"/>
      <c r="AF102" s="3"/>
      <c r="AG102" s="3"/>
      <c r="AH102" s="3"/>
      <c r="AI102" s="3"/>
      <c r="AJ102" s="3"/>
      <c r="AK102" s="29"/>
      <c r="AL102" s="29"/>
      <c r="AM102" s="29"/>
      <c r="AX102" s="285"/>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72"/>
      <c r="CV102" s="72"/>
      <c r="CW102" s="72"/>
      <c r="CX102" s="72"/>
      <c r="CY102" s="72"/>
      <c r="CZ102" s="72"/>
      <c r="DA102" s="72"/>
      <c r="DB102" s="72"/>
      <c r="DC102" s="72"/>
      <c r="DD102" s="72"/>
      <c r="DE102" s="72"/>
      <c r="DF102" s="72"/>
      <c r="DG102" s="28"/>
    </row>
    <row r="103" spans="1:111" ht="16.8">
      <c r="B103" s="60" t="s">
        <v>181</v>
      </c>
      <c r="C103" s="13"/>
      <c r="D103" s="28"/>
      <c r="E103" s="5"/>
      <c r="F103" s="23"/>
      <c r="G103" s="23"/>
      <c r="H103" s="23"/>
      <c r="I103" s="40" t="s">
        <v>181</v>
      </c>
      <c r="J103" s="7"/>
      <c r="K103" s="7"/>
      <c r="L103" s="34"/>
      <c r="M103" s="419"/>
      <c r="N103" s="419"/>
      <c r="O103" s="419"/>
      <c r="P103" s="419"/>
      <c r="Q103" s="419"/>
      <c r="R103" s="419"/>
      <c r="S103" s="422"/>
      <c r="T103" s="422"/>
      <c r="U103" s="422"/>
      <c r="V103" s="422"/>
      <c r="W103" s="422"/>
      <c r="X103" s="422"/>
      <c r="Y103" s="422"/>
    </row>
    <row r="104" spans="1:111" ht="4.95" hidden="1" customHeight="1">
      <c r="A104" s="111" t="str">
        <f>"[AQ5;"&amp;B104&amp;"]"</f>
        <v>[AQ5;ACCT.BudgetType='Benefits']</v>
      </c>
      <c r="B104" s="60" t="str">
        <f>"ACCT.BudgetType='"&amp;B103&amp;"'"</f>
        <v>ACCT.BudgetType='Benefits'</v>
      </c>
      <c r="C104" s="13" t="s">
        <v>359</v>
      </c>
      <c r="D104" s="28"/>
      <c r="E104" s="5"/>
      <c r="F104" s="23"/>
      <c r="G104" s="23"/>
      <c r="H104" s="23"/>
      <c r="I104" s="23"/>
      <c r="J104" s="23"/>
      <c r="K104" s="78"/>
      <c r="L104" s="34"/>
      <c r="M104" s="419"/>
      <c r="N104" s="419"/>
      <c r="O104" s="419"/>
      <c r="P104" s="419"/>
      <c r="Q104" s="419"/>
      <c r="R104" s="419"/>
      <c r="S104" s="422"/>
      <c r="T104" s="422"/>
      <c r="U104" s="422"/>
      <c r="V104" s="422"/>
      <c r="W104" s="422"/>
      <c r="X104" s="422"/>
      <c r="Y104" s="422"/>
      <c r="Z104" s="430"/>
      <c r="AA104" s="29"/>
      <c r="AB104" s="29"/>
      <c r="AC104" s="335"/>
      <c r="AD104" s="29"/>
      <c r="AE104" s="29"/>
      <c r="AF104" s="29"/>
      <c r="AG104" s="29"/>
      <c r="AH104" s="29"/>
      <c r="AI104" s="29"/>
      <c r="AJ104" s="29"/>
      <c r="AK104" s="29"/>
      <c r="AL104" s="29"/>
      <c r="AM104" s="29"/>
      <c r="AX104" s="285"/>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row>
    <row r="105" spans="1:111" ht="4.95" customHeight="1">
      <c r="A105" s="16" t="s">
        <v>671</v>
      </c>
      <c r="C105" s="13"/>
      <c r="D105" s="28"/>
      <c r="E105" s="5"/>
      <c r="F105" s="23"/>
      <c r="G105" s="23"/>
      <c r="H105" s="23"/>
      <c r="I105" s="23"/>
      <c r="J105" s="23"/>
      <c r="K105" s="78"/>
      <c r="L105" s="34"/>
      <c r="M105" s="424"/>
      <c r="N105" s="424"/>
      <c r="O105" s="424"/>
      <c r="P105" s="424"/>
      <c r="Q105" s="424"/>
      <c r="R105" s="424"/>
      <c r="S105" s="424"/>
      <c r="T105" s="424"/>
      <c r="U105" s="424"/>
      <c r="V105" s="424"/>
      <c r="W105" s="424"/>
      <c r="X105" s="424"/>
      <c r="Y105" s="424"/>
      <c r="Z105" s="430"/>
      <c r="AA105" s="29"/>
      <c r="AB105" s="29"/>
      <c r="AC105" s="335"/>
      <c r="AD105" s="29"/>
      <c r="AE105" s="29"/>
      <c r="AF105" s="29"/>
      <c r="AG105" s="29"/>
      <c r="AH105" s="29"/>
      <c r="AI105" s="29"/>
      <c r="AJ105" s="29"/>
      <c r="AK105" s="29"/>
      <c r="AL105" s="29"/>
      <c r="AM105" s="29"/>
      <c r="AX105" s="285"/>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row>
    <row r="106" spans="1:111" ht="17.399999999999999" thickBot="1">
      <c r="A106" s="52"/>
      <c r="B106" s="60" t="s">
        <v>509</v>
      </c>
      <c r="C106" s="13"/>
      <c r="D106" s="28"/>
      <c r="E106" s="5"/>
      <c r="F106" s="39"/>
      <c r="G106" s="39"/>
      <c r="H106" s="39"/>
      <c r="I106" s="31" t="str">
        <f>"   Total "&amp;I103</f>
        <v xml:space="preserve">   Total Benefits</v>
      </c>
      <c r="J106" s="31"/>
      <c r="K106" s="31"/>
      <c r="L106" s="31"/>
      <c r="M106" s="421">
        <f t="shared" ref="M106:Y106" si="79">SUM(M103:M105)</f>
        <v>0</v>
      </c>
      <c r="N106" s="421">
        <f t="shared" si="79"/>
        <v>0</v>
      </c>
      <c r="O106" s="421">
        <f t="shared" si="79"/>
        <v>0</v>
      </c>
      <c r="P106" s="421">
        <f t="shared" si="79"/>
        <v>0</v>
      </c>
      <c r="Q106" s="421">
        <f t="shared" si="79"/>
        <v>0</v>
      </c>
      <c r="R106" s="421">
        <f t="shared" si="79"/>
        <v>0</v>
      </c>
      <c r="S106" s="421">
        <f t="shared" si="79"/>
        <v>0</v>
      </c>
      <c r="T106" s="421">
        <f t="shared" si="79"/>
        <v>0</v>
      </c>
      <c r="U106" s="421">
        <f t="shared" si="79"/>
        <v>0</v>
      </c>
      <c r="V106" s="421">
        <f t="shared" si="79"/>
        <v>0</v>
      </c>
      <c r="W106" s="421">
        <f t="shared" si="79"/>
        <v>0</v>
      </c>
      <c r="X106" s="421">
        <f t="shared" si="79"/>
        <v>0</v>
      </c>
      <c r="Y106" s="421">
        <f t="shared" si="79"/>
        <v>0</v>
      </c>
      <c r="AN106" s="402">
        <f t="shared" ref="AN106:AW106" si="80">SUM(AN103:AN105)</f>
        <v>0</v>
      </c>
      <c r="AO106" s="402">
        <f t="shared" si="80"/>
        <v>0</v>
      </c>
      <c r="AP106" s="402">
        <f t="shared" si="80"/>
        <v>0</v>
      </c>
      <c r="AQ106" s="403">
        <f t="shared" si="80"/>
        <v>0</v>
      </c>
      <c r="AR106" s="404">
        <f t="shared" si="80"/>
        <v>0</v>
      </c>
      <c r="AS106" s="404">
        <f t="shared" si="80"/>
        <v>0</v>
      </c>
      <c r="AT106" s="404">
        <f t="shared" si="80"/>
        <v>0</v>
      </c>
      <c r="AU106" s="402">
        <f t="shared" si="80"/>
        <v>0</v>
      </c>
      <c r="AV106" s="402">
        <f t="shared" si="80"/>
        <v>0</v>
      </c>
      <c r="AW106" s="405">
        <f t="shared" si="80"/>
        <v>0</v>
      </c>
    </row>
    <row r="107" spans="1:111" ht="4.95" customHeight="1">
      <c r="A107" s="212"/>
      <c r="B107" s="277"/>
      <c r="C107" s="13"/>
      <c r="D107" s="28"/>
      <c r="E107" s="5"/>
      <c r="F107" s="23"/>
      <c r="G107" s="23"/>
      <c r="H107" s="23"/>
      <c r="I107" s="23"/>
      <c r="J107" s="23"/>
      <c r="K107" s="23"/>
      <c r="L107" s="34"/>
      <c r="M107" s="419"/>
      <c r="N107" s="419"/>
      <c r="O107" s="419"/>
      <c r="P107" s="419"/>
      <c r="Q107" s="419"/>
      <c r="R107" s="419"/>
      <c r="S107" s="419"/>
      <c r="T107" s="419"/>
      <c r="U107" s="419"/>
      <c r="V107" s="419"/>
      <c r="W107" s="419"/>
      <c r="X107" s="419"/>
      <c r="Y107" s="419"/>
      <c r="Z107" s="435"/>
      <c r="AA107" s="3"/>
      <c r="AB107" s="3"/>
      <c r="AC107" s="341"/>
      <c r="AD107" s="3"/>
      <c r="AE107" s="3"/>
      <c r="AF107" s="3"/>
      <c r="AG107" s="3"/>
      <c r="AH107" s="3"/>
      <c r="AI107" s="3"/>
      <c r="AJ107" s="3"/>
      <c r="AK107" s="29"/>
      <c r="AL107" s="29"/>
      <c r="AM107" s="29"/>
      <c r="AX107" s="285"/>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72"/>
      <c r="CV107" s="72"/>
      <c r="CW107" s="72"/>
      <c r="CX107" s="72"/>
      <c r="CY107" s="72"/>
      <c r="CZ107" s="72"/>
      <c r="DA107" s="72"/>
      <c r="DB107" s="72"/>
      <c r="DC107" s="72"/>
      <c r="DD107" s="72"/>
      <c r="DE107" s="72"/>
      <c r="DF107" s="72"/>
      <c r="DG107" s="28"/>
    </row>
    <row r="108" spans="1:111" ht="16.8">
      <c r="A108" s="52"/>
      <c r="B108" s="60" t="s">
        <v>460</v>
      </c>
      <c r="C108" s="13"/>
      <c r="D108" s="28"/>
      <c r="E108" s="5"/>
      <c r="F108" s="39"/>
      <c r="G108" s="39"/>
      <c r="H108" s="39"/>
      <c r="I108" s="40" t="s">
        <v>460</v>
      </c>
      <c r="J108" s="7"/>
      <c r="K108" s="7"/>
      <c r="L108" s="34"/>
      <c r="M108" s="419"/>
      <c r="N108" s="419"/>
      <c r="O108" s="419"/>
      <c r="P108" s="419"/>
      <c r="Q108" s="419"/>
      <c r="R108" s="419"/>
      <c r="S108" s="422"/>
      <c r="T108" s="422"/>
      <c r="U108" s="422"/>
      <c r="V108" s="422"/>
      <c r="W108" s="422"/>
      <c r="X108" s="422"/>
      <c r="Y108" s="422"/>
    </row>
    <row r="109" spans="1:111" ht="4.95" hidden="1" customHeight="1">
      <c r="A109" s="212" t="str">
        <f>"[AQ6;"&amp;B109&amp;"]"</f>
        <v>[AQ6;ACCT.BudgetType='Supplies']</v>
      </c>
      <c r="B109" s="277" t="str">
        <f>"ACCT.BudgetType='"&amp;B108&amp;"'"</f>
        <v>ACCT.BudgetType='Supplies'</v>
      </c>
      <c r="C109" s="13" t="s">
        <v>359</v>
      </c>
      <c r="D109" s="28"/>
      <c r="E109" s="5"/>
      <c r="F109" s="23"/>
      <c r="G109" s="23"/>
      <c r="H109" s="23"/>
      <c r="I109" s="23"/>
      <c r="J109" s="23"/>
      <c r="K109" s="23"/>
      <c r="L109" s="34"/>
      <c r="M109" s="419"/>
      <c r="N109" s="419"/>
      <c r="O109" s="419"/>
      <c r="P109" s="419"/>
      <c r="Q109" s="419"/>
      <c r="R109" s="419"/>
      <c r="S109" s="419"/>
      <c r="T109" s="419"/>
      <c r="U109" s="419"/>
      <c r="V109" s="419"/>
      <c r="W109" s="419"/>
      <c r="X109" s="419"/>
      <c r="Y109" s="419"/>
      <c r="Z109" s="435"/>
      <c r="AA109" s="3"/>
      <c r="AB109" s="3"/>
      <c r="AC109" s="341"/>
      <c r="AD109" s="3"/>
      <c r="AE109" s="3"/>
      <c r="AF109" s="3"/>
      <c r="AG109" s="3"/>
      <c r="AH109" s="3"/>
      <c r="AI109" s="3"/>
      <c r="AJ109" s="3"/>
      <c r="AK109" s="29"/>
      <c r="AL109" s="29"/>
      <c r="AM109" s="29"/>
      <c r="AX109" s="285"/>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72"/>
      <c r="CV109" s="72"/>
      <c r="CW109" s="72"/>
      <c r="CX109" s="72"/>
      <c r="CY109" s="72"/>
      <c r="CZ109" s="72"/>
      <c r="DA109" s="72"/>
      <c r="DB109" s="72"/>
      <c r="DC109" s="72"/>
      <c r="DD109" s="72"/>
      <c r="DE109" s="72"/>
      <c r="DF109" s="72"/>
      <c r="DG109" s="28"/>
    </row>
    <row r="110" spans="1:111" ht="4.95" customHeight="1">
      <c r="A110" s="212" t="s">
        <v>671</v>
      </c>
      <c r="B110" s="277"/>
      <c r="C110" s="13"/>
      <c r="D110" s="28"/>
      <c r="E110" s="5"/>
      <c r="F110" s="23"/>
      <c r="G110" s="23"/>
      <c r="H110" s="23"/>
      <c r="I110" s="23"/>
      <c r="J110" s="23"/>
      <c r="K110" s="23"/>
      <c r="L110" s="34"/>
      <c r="M110" s="419"/>
      <c r="N110" s="419"/>
      <c r="O110" s="419"/>
      <c r="P110" s="419"/>
      <c r="Q110" s="419"/>
      <c r="R110" s="419"/>
      <c r="S110" s="419"/>
      <c r="T110" s="419"/>
      <c r="U110" s="419"/>
      <c r="V110" s="419"/>
      <c r="W110" s="419"/>
      <c r="X110" s="419"/>
      <c r="Y110" s="419"/>
      <c r="Z110" s="435"/>
      <c r="AA110" s="3"/>
      <c r="AB110" s="3"/>
      <c r="AC110" s="341"/>
      <c r="AD110" s="3"/>
      <c r="AE110" s="3"/>
      <c r="AF110" s="3"/>
      <c r="AG110" s="3"/>
      <c r="AH110" s="3"/>
      <c r="AI110" s="3"/>
      <c r="AJ110" s="3"/>
      <c r="AK110" s="29"/>
      <c r="AL110" s="29"/>
      <c r="AM110" s="29"/>
      <c r="AX110" s="285"/>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72"/>
      <c r="CV110" s="72"/>
      <c r="CW110" s="72"/>
      <c r="CX110" s="72"/>
      <c r="CY110" s="72"/>
      <c r="CZ110" s="72"/>
      <c r="DA110" s="72"/>
      <c r="DB110" s="72"/>
      <c r="DC110" s="72"/>
      <c r="DD110" s="72"/>
      <c r="DE110" s="72"/>
      <c r="DF110" s="72"/>
      <c r="DG110" s="28"/>
    </row>
    <row r="111" spans="1:111" ht="16.8">
      <c r="A111" s="52"/>
      <c r="B111" s="60" t="s">
        <v>509</v>
      </c>
      <c r="C111" s="13"/>
      <c r="D111" s="28"/>
      <c r="E111" s="5"/>
      <c r="F111" s="39"/>
      <c r="G111" s="39"/>
      <c r="H111" s="39"/>
      <c r="I111" s="31" t="str">
        <f>"   Total "&amp;I108</f>
        <v xml:space="preserve">   Total Supplies</v>
      </c>
      <c r="J111" s="31"/>
      <c r="K111" s="31"/>
      <c r="L111" s="31"/>
      <c r="M111" s="421">
        <f t="shared" ref="M111:Y111" si="81">SUM(M108:M110)</f>
        <v>0</v>
      </c>
      <c r="N111" s="421">
        <f t="shared" si="81"/>
        <v>0</v>
      </c>
      <c r="O111" s="421">
        <f t="shared" si="81"/>
        <v>0</v>
      </c>
      <c r="P111" s="421">
        <f t="shared" si="81"/>
        <v>0</v>
      </c>
      <c r="Q111" s="421">
        <f t="shared" si="81"/>
        <v>0</v>
      </c>
      <c r="R111" s="421">
        <f t="shared" si="81"/>
        <v>0</v>
      </c>
      <c r="S111" s="421">
        <f t="shared" si="81"/>
        <v>0</v>
      </c>
      <c r="T111" s="421">
        <f t="shared" si="81"/>
        <v>0</v>
      </c>
      <c r="U111" s="421">
        <f t="shared" si="81"/>
        <v>0</v>
      </c>
      <c r="V111" s="421">
        <f t="shared" si="81"/>
        <v>0</v>
      </c>
      <c r="W111" s="421">
        <f t="shared" si="81"/>
        <v>0</v>
      </c>
      <c r="X111" s="421">
        <f t="shared" si="81"/>
        <v>0</v>
      </c>
      <c r="Y111" s="421">
        <f t="shared" si="81"/>
        <v>0</v>
      </c>
      <c r="Z111" s="430"/>
      <c r="AA111" s="41"/>
      <c r="AB111" s="41"/>
      <c r="AC111" s="343"/>
      <c r="AD111" s="41"/>
      <c r="AE111" s="41"/>
      <c r="AF111" s="41"/>
      <c r="AG111" s="41"/>
      <c r="AH111" s="41"/>
      <c r="AI111" s="41"/>
      <c r="AJ111" s="41"/>
      <c r="AK111" s="41"/>
      <c r="AL111" s="41"/>
      <c r="AM111" s="41"/>
      <c r="AN111" s="372"/>
      <c r="AO111" s="372"/>
      <c r="AP111" s="372"/>
      <c r="AQ111" s="392"/>
      <c r="AR111" s="363"/>
      <c r="AS111" s="363"/>
      <c r="AT111" s="363"/>
      <c r="AU111" s="372"/>
      <c r="AV111" s="372"/>
      <c r="AW111" s="372"/>
      <c r="AX111" s="293"/>
      <c r="AY111" s="41"/>
      <c r="AZ111" s="41"/>
      <c r="BA111" s="41"/>
      <c r="BB111" s="41"/>
      <c r="BC111" s="41"/>
      <c r="BD111" s="41"/>
    </row>
    <row r="112" spans="1:111" ht="4.95" customHeight="1">
      <c r="A112" s="212"/>
      <c r="B112" s="277"/>
      <c r="C112" s="13"/>
      <c r="D112" s="28"/>
      <c r="E112" s="5"/>
      <c r="F112" s="23"/>
      <c r="G112" s="23"/>
      <c r="H112" s="23"/>
      <c r="I112" s="23"/>
      <c r="J112" s="23"/>
      <c r="K112" s="23"/>
      <c r="L112" s="34"/>
      <c r="M112" s="419"/>
      <c r="N112" s="419"/>
      <c r="O112" s="419"/>
      <c r="P112" s="419"/>
      <c r="Q112" s="419"/>
      <c r="R112" s="419"/>
      <c r="S112" s="419"/>
      <c r="T112" s="419"/>
      <c r="U112" s="419"/>
      <c r="V112" s="419"/>
      <c r="W112" s="419"/>
      <c r="X112" s="419"/>
      <c r="Y112" s="419"/>
      <c r="Z112" s="435"/>
      <c r="AA112" s="3"/>
      <c r="AB112" s="3"/>
      <c r="AC112" s="341"/>
      <c r="AD112" s="3"/>
      <c r="AE112" s="3"/>
      <c r="AF112" s="3"/>
      <c r="AG112" s="3"/>
      <c r="AH112" s="3"/>
      <c r="AI112" s="3"/>
      <c r="AJ112" s="3"/>
      <c r="AK112" s="29"/>
      <c r="AL112" s="29"/>
      <c r="AM112" s="29"/>
      <c r="AX112" s="285"/>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72"/>
      <c r="CV112" s="72"/>
      <c r="CW112" s="72"/>
      <c r="CX112" s="72"/>
      <c r="CY112" s="72"/>
      <c r="CZ112" s="72"/>
      <c r="DA112" s="72"/>
      <c r="DB112" s="72"/>
      <c r="DC112" s="72"/>
      <c r="DD112" s="72"/>
      <c r="DE112" s="72"/>
      <c r="DF112" s="72"/>
      <c r="DG112" s="28"/>
    </row>
    <row r="113" spans="1:111" ht="16.8">
      <c r="B113" s="60" t="s">
        <v>234</v>
      </c>
      <c r="C113" s="13"/>
      <c r="D113" s="28"/>
      <c r="E113" s="5"/>
      <c r="F113" s="23"/>
      <c r="G113" s="23"/>
      <c r="H113" s="23"/>
      <c r="I113" s="40" t="s">
        <v>374</v>
      </c>
      <c r="J113" s="7"/>
      <c r="K113" s="7"/>
      <c r="L113" s="34"/>
      <c r="M113" s="419"/>
      <c r="N113" s="419"/>
      <c r="O113" s="419"/>
      <c r="P113" s="419"/>
      <c r="Q113" s="419"/>
      <c r="R113" s="419"/>
      <c r="S113" s="422"/>
      <c r="T113" s="422"/>
      <c r="U113" s="422"/>
      <c r="V113" s="422"/>
      <c r="W113" s="422"/>
      <c r="X113" s="422"/>
      <c r="Y113" s="422"/>
    </row>
    <row r="114" spans="1:111" ht="4.95" hidden="1" customHeight="1">
      <c r="A114" s="212" t="str">
        <f>"[AQ6;"&amp;B114&amp;"]"</f>
        <v>[AQ6;ACCT.BudgetType='OtherExp']</v>
      </c>
      <c r="B114" s="277" t="str">
        <f>"ACCT.BudgetType='"&amp;B113&amp;"'"</f>
        <v>ACCT.BudgetType='OtherExp'</v>
      </c>
      <c r="C114" s="13" t="s">
        <v>359</v>
      </c>
      <c r="D114" s="28"/>
      <c r="E114" s="5"/>
      <c r="F114" s="23"/>
      <c r="G114" s="23"/>
      <c r="H114" s="23"/>
      <c r="I114" s="23"/>
      <c r="J114" s="23"/>
      <c r="K114" s="23"/>
      <c r="L114" s="34"/>
      <c r="M114" s="419"/>
      <c r="N114" s="419"/>
      <c r="O114" s="419"/>
      <c r="P114" s="419"/>
      <c r="Q114" s="419"/>
      <c r="R114" s="419"/>
      <c r="S114" s="419"/>
      <c r="T114" s="419"/>
      <c r="U114" s="419"/>
      <c r="V114" s="419"/>
      <c r="W114" s="419"/>
      <c r="X114" s="419"/>
      <c r="Y114" s="419"/>
      <c r="Z114" s="435"/>
      <c r="AA114" s="3"/>
      <c r="AB114" s="3"/>
      <c r="AC114" s="341"/>
      <c r="AD114" s="3"/>
      <c r="AE114" s="3"/>
      <c r="AF114" s="3"/>
      <c r="AG114" s="3"/>
      <c r="AH114" s="3"/>
      <c r="AI114" s="3"/>
      <c r="AJ114" s="3"/>
      <c r="AK114" s="29"/>
      <c r="AL114" s="29"/>
      <c r="AM114" s="29"/>
      <c r="AX114" s="285"/>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72"/>
      <c r="CV114" s="72"/>
      <c r="CW114" s="72"/>
      <c r="CX114" s="72"/>
      <c r="CY114" s="72"/>
      <c r="CZ114" s="72"/>
      <c r="DA114" s="72"/>
      <c r="DB114" s="72"/>
      <c r="DC114" s="72"/>
      <c r="DD114" s="72"/>
      <c r="DE114" s="72"/>
      <c r="DF114" s="72"/>
      <c r="DG114" s="28"/>
    </row>
    <row r="115" spans="1:111" ht="4.95" customHeight="1">
      <c r="A115" s="212" t="s">
        <v>671</v>
      </c>
      <c r="B115" s="277"/>
      <c r="C115" s="13"/>
      <c r="D115" s="28"/>
      <c r="E115" s="5"/>
      <c r="F115" s="23"/>
      <c r="G115" s="23"/>
      <c r="H115" s="23"/>
      <c r="I115" s="23"/>
      <c r="J115" s="23"/>
      <c r="K115" s="23"/>
      <c r="L115" s="34"/>
      <c r="M115" s="419"/>
      <c r="N115" s="419"/>
      <c r="O115" s="419"/>
      <c r="P115" s="419"/>
      <c r="Q115" s="419"/>
      <c r="R115" s="419"/>
      <c r="S115" s="419"/>
      <c r="T115" s="419"/>
      <c r="U115" s="419"/>
      <c r="V115" s="419"/>
      <c r="W115" s="419"/>
      <c r="X115" s="419"/>
      <c r="Y115" s="419"/>
      <c r="Z115" s="435"/>
      <c r="AA115" s="3"/>
      <c r="AB115" s="3"/>
      <c r="AC115" s="341"/>
      <c r="AD115" s="3"/>
      <c r="AE115" s="3"/>
      <c r="AF115" s="3"/>
      <c r="AG115" s="3"/>
      <c r="AH115" s="3"/>
      <c r="AI115" s="3"/>
      <c r="AJ115" s="3"/>
      <c r="AK115" s="29"/>
      <c r="AL115" s="29"/>
      <c r="AM115" s="29"/>
      <c r="AX115" s="285"/>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72"/>
      <c r="CV115" s="72"/>
      <c r="CW115" s="72"/>
      <c r="CX115" s="72"/>
      <c r="CY115" s="72"/>
      <c r="CZ115" s="72"/>
      <c r="DA115" s="72"/>
      <c r="DB115" s="72"/>
      <c r="DC115" s="72"/>
      <c r="DD115" s="72"/>
      <c r="DE115" s="72"/>
      <c r="DF115" s="72"/>
      <c r="DG115" s="28"/>
    </row>
    <row r="116" spans="1:111" ht="16.8">
      <c r="A116" s="52"/>
      <c r="B116" s="60" t="s">
        <v>509</v>
      </c>
      <c r="C116" s="13"/>
      <c r="D116" s="28"/>
      <c r="E116" s="5"/>
      <c r="F116" s="39"/>
      <c r="G116" s="39"/>
      <c r="H116" s="39"/>
      <c r="I116" s="31" t="str">
        <f>"   Total "&amp;I113</f>
        <v xml:space="preserve">   Total Other Expenses</v>
      </c>
      <c r="J116" s="31"/>
      <c r="K116" s="31"/>
      <c r="L116" s="31"/>
      <c r="M116" s="421">
        <f t="shared" ref="M116:Y116" si="82">SUM(M113:M115)</f>
        <v>0</v>
      </c>
      <c r="N116" s="421">
        <f t="shared" si="82"/>
        <v>0</v>
      </c>
      <c r="O116" s="421">
        <f t="shared" si="82"/>
        <v>0</v>
      </c>
      <c r="P116" s="421">
        <f t="shared" si="82"/>
        <v>0</v>
      </c>
      <c r="Q116" s="421">
        <f t="shared" si="82"/>
        <v>0</v>
      </c>
      <c r="R116" s="421">
        <f t="shared" si="82"/>
        <v>0</v>
      </c>
      <c r="S116" s="421">
        <f t="shared" si="82"/>
        <v>0</v>
      </c>
      <c r="T116" s="421">
        <f t="shared" si="82"/>
        <v>0</v>
      </c>
      <c r="U116" s="421">
        <f t="shared" si="82"/>
        <v>0</v>
      </c>
      <c r="V116" s="421">
        <f t="shared" si="82"/>
        <v>0</v>
      </c>
      <c r="W116" s="421">
        <f t="shared" si="82"/>
        <v>0</v>
      </c>
      <c r="X116" s="421">
        <f t="shared" si="82"/>
        <v>0</v>
      </c>
      <c r="Y116" s="421">
        <f t="shared" si="82"/>
        <v>0</v>
      </c>
    </row>
    <row r="117" spans="1:111" ht="4.95" customHeight="1">
      <c r="A117" s="212"/>
      <c r="B117" s="277"/>
      <c r="C117" s="13"/>
      <c r="D117" s="28"/>
      <c r="E117" s="5"/>
      <c r="F117" s="23"/>
      <c r="G117" s="23"/>
      <c r="H117" s="23"/>
      <c r="I117" s="23"/>
      <c r="J117" s="23"/>
      <c r="K117" s="23"/>
      <c r="L117" s="34"/>
      <c r="M117" s="419"/>
      <c r="N117" s="419"/>
      <c r="O117" s="419"/>
      <c r="P117" s="419"/>
      <c r="Q117" s="419"/>
      <c r="R117" s="419"/>
      <c r="S117" s="419"/>
      <c r="T117" s="419"/>
      <c r="U117" s="419"/>
      <c r="V117" s="419"/>
      <c r="W117" s="419"/>
      <c r="X117" s="419"/>
      <c r="Y117" s="419"/>
      <c r="Z117" s="435"/>
      <c r="AA117" s="3"/>
      <c r="AB117" s="3"/>
      <c r="AC117" s="341"/>
      <c r="AD117" s="3"/>
      <c r="AE117" s="3"/>
      <c r="AF117" s="3"/>
      <c r="AG117" s="3"/>
      <c r="AH117" s="3"/>
      <c r="AI117" s="3"/>
      <c r="AJ117" s="3"/>
      <c r="AK117" s="29"/>
      <c r="AL117" s="29"/>
      <c r="AM117" s="29"/>
      <c r="AX117" s="285"/>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72"/>
      <c r="CV117" s="72"/>
      <c r="CW117" s="72"/>
      <c r="CX117" s="72"/>
      <c r="CY117" s="72"/>
      <c r="CZ117" s="72"/>
      <c r="DA117" s="72"/>
      <c r="DB117" s="72"/>
      <c r="DC117" s="72"/>
      <c r="DD117" s="72"/>
      <c r="DE117" s="72"/>
      <c r="DF117" s="72"/>
      <c r="DG117" s="28"/>
    </row>
    <row r="118" spans="1:111" ht="4.95" customHeight="1">
      <c r="A118" s="212"/>
      <c r="B118" s="277"/>
      <c r="C118" s="13"/>
      <c r="D118" s="28"/>
      <c r="E118" s="5"/>
      <c r="F118" s="23"/>
      <c r="G118" s="23"/>
      <c r="H118" s="23"/>
      <c r="I118" s="23"/>
      <c r="J118" s="23"/>
      <c r="K118" s="23"/>
      <c r="L118" s="34"/>
      <c r="M118" s="419"/>
      <c r="N118" s="419"/>
      <c r="O118" s="419"/>
      <c r="P118" s="419"/>
      <c r="Q118" s="419"/>
      <c r="R118" s="419"/>
      <c r="S118" s="419"/>
      <c r="T118" s="419"/>
      <c r="U118" s="419"/>
      <c r="V118" s="419"/>
      <c r="W118" s="419"/>
      <c r="X118" s="419"/>
      <c r="Y118" s="419"/>
      <c r="Z118" s="435"/>
      <c r="AA118" s="3"/>
      <c r="AB118" s="3"/>
      <c r="AC118" s="341"/>
      <c r="AD118" s="3"/>
      <c r="AE118" s="3"/>
      <c r="AF118" s="3"/>
      <c r="AG118" s="3"/>
      <c r="AH118" s="3"/>
      <c r="AI118" s="3"/>
      <c r="AJ118" s="3"/>
      <c r="AK118" s="29"/>
      <c r="AL118" s="29"/>
      <c r="AM118" s="29"/>
      <c r="AX118" s="285"/>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72"/>
      <c r="CV118" s="72"/>
      <c r="CW118" s="72"/>
      <c r="CX118" s="72"/>
      <c r="CY118" s="72"/>
      <c r="CZ118" s="72"/>
      <c r="DA118" s="72"/>
      <c r="DB118" s="72"/>
      <c r="DC118" s="72"/>
      <c r="DD118" s="72"/>
      <c r="DE118" s="72"/>
      <c r="DF118" s="72"/>
      <c r="DG118" s="28"/>
    </row>
    <row r="119" spans="1:111" ht="16.8">
      <c r="C119" s="13"/>
      <c r="D119" s="28"/>
      <c r="E119" s="5"/>
      <c r="F119" s="23"/>
      <c r="G119" s="23"/>
      <c r="H119" s="23"/>
      <c r="I119" s="31" t="s">
        <v>545</v>
      </c>
      <c r="J119" s="31"/>
      <c r="K119" s="31"/>
      <c r="L119" s="31"/>
      <c r="M119" s="421">
        <f t="shared" ref="M119:Y119" si="83">SUMIF($B:$B,"Expense",M:M)</f>
        <v>0</v>
      </c>
      <c r="N119" s="421">
        <f t="shared" si="83"/>
        <v>0</v>
      </c>
      <c r="O119" s="421">
        <f t="shared" si="83"/>
        <v>0</v>
      </c>
      <c r="P119" s="421">
        <f t="shared" si="83"/>
        <v>0</v>
      </c>
      <c r="Q119" s="421">
        <f t="shared" si="83"/>
        <v>0</v>
      </c>
      <c r="R119" s="421">
        <f t="shared" si="83"/>
        <v>0</v>
      </c>
      <c r="S119" s="421">
        <f t="shared" si="83"/>
        <v>0</v>
      </c>
      <c r="T119" s="421">
        <f t="shared" si="83"/>
        <v>0</v>
      </c>
      <c r="U119" s="421">
        <f t="shared" si="83"/>
        <v>0</v>
      </c>
      <c r="V119" s="421">
        <f t="shared" si="83"/>
        <v>0</v>
      </c>
      <c r="W119" s="421">
        <f t="shared" si="83"/>
        <v>0</v>
      </c>
      <c r="X119" s="421">
        <f t="shared" si="83"/>
        <v>0</v>
      </c>
      <c r="Y119" s="421">
        <f t="shared" si="83"/>
        <v>0</v>
      </c>
    </row>
    <row r="120" spans="1:111" ht="4.95" customHeight="1">
      <c r="A120" s="212"/>
      <c r="B120" s="277"/>
      <c r="C120" s="13"/>
      <c r="D120" s="28"/>
      <c r="E120" s="5"/>
      <c r="F120" s="23"/>
      <c r="G120" s="23"/>
      <c r="H120" s="23"/>
      <c r="I120" s="23"/>
      <c r="J120" s="23"/>
      <c r="K120" s="23"/>
      <c r="L120" s="34"/>
      <c r="M120" s="419"/>
      <c r="N120" s="419"/>
      <c r="O120" s="419"/>
      <c r="P120" s="419"/>
      <c r="Q120" s="419"/>
      <c r="R120" s="419"/>
      <c r="S120" s="419"/>
      <c r="T120" s="419"/>
      <c r="U120" s="419"/>
      <c r="V120" s="419"/>
      <c r="W120" s="419"/>
      <c r="X120" s="419"/>
      <c r="Y120" s="419"/>
      <c r="Z120" s="435"/>
      <c r="AA120" s="3"/>
      <c r="AB120" s="3"/>
      <c r="AC120" s="341"/>
      <c r="AD120" s="3"/>
      <c r="AE120" s="3"/>
      <c r="AF120" s="3"/>
      <c r="AG120" s="3"/>
      <c r="AH120" s="3"/>
      <c r="AI120" s="3"/>
      <c r="AJ120" s="3"/>
      <c r="AK120" s="29"/>
      <c r="AL120" s="29"/>
      <c r="AM120" s="29"/>
      <c r="AX120" s="285"/>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72"/>
      <c r="CV120" s="72"/>
      <c r="CW120" s="72"/>
      <c r="CX120" s="72"/>
      <c r="CY120" s="72"/>
      <c r="CZ120" s="72"/>
      <c r="DA120" s="72"/>
      <c r="DB120" s="72"/>
      <c r="DC120" s="72"/>
      <c r="DD120" s="72"/>
      <c r="DE120" s="72"/>
      <c r="DF120" s="72"/>
      <c r="DG120" s="28"/>
    </row>
    <row r="121" spans="1:111" ht="16.8">
      <c r="C121" s="13"/>
      <c r="D121" s="28"/>
      <c r="E121" s="5"/>
      <c r="I121" s="31" t="s">
        <v>461</v>
      </c>
      <c r="J121" s="31"/>
      <c r="K121" s="31"/>
      <c r="L121" s="31"/>
      <c r="M121" s="421">
        <f t="shared" ref="M121:Y121" si="84">M88-M119</f>
        <v>0</v>
      </c>
      <c r="N121" s="421">
        <f t="shared" si="84"/>
        <v>0</v>
      </c>
      <c r="O121" s="421">
        <f t="shared" si="84"/>
        <v>0</v>
      </c>
      <c r="P121" s="421">
        <f t="shared" si="84"/>
        <v>0</v>
      </c>
      <c r="Q121" s="421">
        <f t="shared" si="84"/>
        <v>0</v>
      </c>
      <c r="R121" s="421">
        <f t="shared" si="84"/>
        <v>0</v>
      </c>
      <c r="S121" s="421">
        <f t="shared" si="84"/>
        <v>0</v>
      </c>
      <c r="T121" s="421">
        <f t="shared" si="84"/>
        <v>0</v>
      </c>
      <c r="U121" s="421">
        <f t="shared" si="84"/>
        <v>0</v>
      </c>
      <c r="V121" s="421">
        <f t="shared" si="84"/>
        <v>0</v>
      </c>
      <c r="W121" s="421">
        <f t="shared" si="84"/>
        <v>0</v>
      </c>
      <c r="X121" s="421">
        <f t="shared" si="84"/>
        <v>0</v>
      </c>
      <c r="Y121" s="421">
        <f t="shared" si="84"/>
        <v>0</v>
      </c>
    </row>
    <row r="122" spans="1:111" ht="16.8">
      <c r="C122" s="13"/>
      <c r="D122" s="28"/>
      <c r="E122" s="5"/>
      <c r="L122" s="34"/>
    </row>
    <row r="123" spans="1:111" ht="16.8">
      <c r="C123" s="13"/>
      <c r="D123" s="28"/>
      <c r="L123" s="34"/>
    </row>
    <row r="124" spans="1:111" ht="16.8">
      <c r="C124" s="13"/>
      <c r="D124" s="28"/>
      <c r="L124" s="34"/>
      <c r="U124" s="29"/>
    </row>
    <row r="125" spans="1:111" ht="16.8">
      <c r="C125" s="13"/>
      <c r="D125" s="28"/>
      <c r="L125" s="34"/>
    </row>
    <row r="126" spans="1:111" ht="16.8">
      <c r="C126" s="13"/>
      <c r="D126" s="28"/>
      <c r="L126" s="34"/>
    </row>
    <row r="127" spans="1:111" ht="16.8">
      <c r="C127" s="13"/>
      <c r="D127" s="28"/>
      <c r="L127" s="34"/>
    </row>
    <row r="128" spans="1:111" ht="16.8">
      <c r="C128" s="13"/>
      <c r="D128" s="28"/>
    </row>
    <row r="129" spans="3:4" ht="16.8">
      <c r="C129" s="13"/>
      <c r="D129" s="28"/>
    </row>
    <row r="130" spans="3:4" ht="16.8">
      <c r="C130" s="13"/>
      <c r="D130" s="28"/>
    </row>
    <row r="131" spans="3:4" ht="16.8">
      <c r="C131" s="13"/>
      <c r="D131" s="28"/>
    </row>
    <row r="132" spans="3:4" ht="16.8">
      <c r="C132" s="13"/>
      <c r="D132" s="28"/>
    </row>
    <row r="133" spans="3:4" ht="16.8">
      <c r="C133" s="13"/>
      <c r="D133" s="28"/>
    </row>
  </sheetData>
  <sheetProtection formatCells="0" autoFilter="0"/>
  <phoneticPr fontId="77" type="noConversion"/>
  <conditionalFormatting sqref="M47:Y48">
    <cfRule type="expression" dxfId="0" priority="2">
      <formula>M$30=FALSE</formula>
    </cfRule>
  </conditionalFormatting>
  <printOptions horizontalCentered="1"/>
  <pageMargins left="0.25" right="0.25" top="0.75" bottom="0.75" header="0.3" footer="0.3"/>
  <pageSetup scale="45" fitToHeight="0" orientation="landscape" r:id="rId1"/>
  <headerFooter>
    <oddFooter>&amp;L&amp;D &amp;T&amp;CPage &amp;P of &amp;N&amp;R&amp;F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Control_FileProcessing</vt:lpstr>
      <vt:lpstr>Control_Sheet</vt:lpstr>
      <vt:lpstr>Variables</vt:lpstr>
      <vt:lpstr>Instructions</vt:lpstr>
      <vt:lpstr>Forecast_Methods</vt:lpstr>
      <vt:lpstr>CYFDriver</vt:lpstr>
      <vt:lpstr>Mthly_Fcst_Utility</vt:lpstr>
      <vt:lpstr>CYFDriver!Print_Area</vt:lpstr>
      <vt:lpstr>Forecast_Methods!Print_Area</vt:lpstr>
      <vt:lpstr>Mthly_Fcst_Utility!Print_Area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Miller, Debra</cp:lastModifiedBy>
  <dcterms:created xsi:type="dcterms:W3CDTF">2019-04-23T21:10:08Z</dcterms:created>
  <dcterms:modified xsi:type="dcterms:W3CDTF">2020-06-26T17:00:06Z</dcterms:modified>
</cp:coreProperties>
</file>